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/>
  </bookViews>
  <sheets>
    <sheet name="PRIHODI-REBALANS 4 " sheetId="19" r:id="rId1"/>
    <sheet name="RASHODI REBALANS 4" sheetId="35" r:id="rId2"/>
    <sheet name="List1" sheetId="34" r:id="rId3"/>
  </sheets>
  <definedNames>
    <definedName name="_xlnm.Print_Titles" localSheetId="1">'RASHODI REBALANS 4'!$2:$6</definedName>
  </definedNames>
  <calcPr calcId="124519"/>
</workbook>
</file>

<file path=xl/calcChain.xml><?xml version="1.0" encoding="utf-8"?>
<calcChain xmlns="http://schemas.openxmlformats.org/spreadsheetml/2006/main">
  <c r="M27" i="19"/>
  <c r="L27"/>
  <c r="AE97" i="35" l="1"/>
  <c r="U97"/>
  <c r="M97"/>
  <c r="AE96"/>
  <c r="U96"/>
  <c r="M96"/>
  <c r="AE95"/>
  <c r="U95"/>
  <c r="U98" s="1"/>
  <c r="M95"/>
  <c r="M98" s="1"/>
  <c r="AN88"/>
  <c r="AD88"/>
  <c r="S88"/>
  <c r="AN87"/>
  <c r="AN89" s="1"/>
  <c r="AN92" s="1"/>
  <c r="AI87"/>
  <c r="AD87"/>
  <c r="Y87"/>
  <c r="S87"/>
  <c r="S89" s="1"/>
  <c r="S92" s="1"/>
  <c r="AO83"/>
  <c r="T83"/>
  <c r="R83"/>
  <c r="R82" s="1"/>
  <c r="R81" s="1"/>
  <c r="R80" s="1"/>
  <c r="L83"/>
  <c r="AN82"/>
  <c r="AM82"/>
  <c r="AL82"/>
  <c r="AK82"/>
  <c r="AK81" s="1"/>
  <c r="AK80" s="1"/>
  <c r="AJ82"/>
  <c r="AI82"/>
  <c r="AH82"/>
  <c r="AG82"/>
  <c r="AF82"/>
  <c r="AE82"/>
  <c r="AD82"/>
  <c r="AC82"/>
  <c r="AB82"/>
  <c r="AA82"/>
  <c r="Z82"/>
  <c r="Y82"/>
  <c r="X82"/>
  <c r="W82"/>
  <c r="V82"/>
  <c r="U82"/>
  <c r="S82"/>
  <c r="Q82"/>
  <c r="P82"/>
  <c r="O82"/>
  <c r="N82"/>
  <c r="M82"/>
  <c r="K82"/>
  <c r="J82"/>
  <c r="I82"/>
  <c r="H82"/>
  <c r="G82"/>
  <c r="F82"/>
  <c r="E82"/>
  <c r="D82"/>
  <c r="AN81"/>
  <c r="AO81" s="1"/>
  <c r="AM81"/>
  <c r="AL81"/>
  <c r="AJ81"/>
  <c r="AI81"/>
  <c r="AH81"/>
  <c r="AG81"/>
  <c r="AF81"/>
  <c r="AE81"/>
  <c r="AD81"/>
  <c r="AC81"/>
  <c r="AB81"/>
  <c r="AA81"/>
  <c r="Z81"/>
  <c r="Y81"/>
  <c r="X81"/>
  <c r="W81"/>
  <c r="V81"/>
  <c r="U81"/>
  <c r="S81"/>
  <c r="Q81"/>
  <c r="P81"/>
  <c r="O81"/>
  <c r="N81"/>
  <c r="M81"/>
  <c r="K81"/>
  <c r="J81"/>
  <c r="I81"/>
  <c r="H81"/>
  <c r="G81"/>
  <c r="F81"/>
  <c r="E81"/>
  <c r="D81"/>
  <c r="AN80"/>
  <c r="AM80"/>
  <c r="AL80"/>
  <c r="AJ80"/>
  <c r="AI80"/>
  <c r="AH80"/>
  <c r="AG80"/>
  <c r="AF80"/>
  <c r="AE80"/>
  <c r="AD80"/>
  <c r="AC80"/>
  <c r="AB80"/>
  <c r="AA80"/>
  <c r="Z80"/>
  <c r="Y80"/>
  <c r="X80"/>
  <c r="W80"/>
  <c r="V80"/>
  <c r="U80"/>
  <c r="S80"/>
  <c r="Q80"/>
  <c r="P80"/>
  <c r="O80"/>
  <c r="N80"/>
  <c r="M80"/>
  <c r="K80"/>
  <c r="J80"/>
  <c r="I80"/>
  <c r="H80"/>
  <c r="G80"/>
  <c r="F80"/>
  <c r="E80"/>
  <c r="D80"/>
  <c r="AN79"/>
  <c r="AO79" s="1"/>
  <c r="AJ79"/>
  <c r="AJ78" s="1"/>
  <c r="AJ77" s="1"/>
  <c r="AI79"/>
  <c r="AI78" s="1"/>
  <c r="AI77" s="1"/>
  <c r="AD79"/>
  <c r="Z79"/>
  <c r="Y79"/>
  <c r="S79"/>
  <c r="S78" s="1"/>
  <c r="S77" s="1"/>
  <c r="K79"/>
  <c r="AM78"/>
  <c r="AM77" s="1"/>
  <c r="AL78"/>
  <c r="AK78"/>
  <c r="AK77" s="1"/>
  <c r="AH78"/>
  <c r="AH77" s="1"/>
  <c r="AG78"/>
  <c r="AF78"/>
  <c r="AF77" s="1"/>
  <c r="AE78"/>
  <c r="AD78"/>
  <c r="AC78"/>
  <c r="AB78"/>
  <c r="AB77" s="1"/>
  <c r="AA78"/>
  <c r="Z78"/>
  <c r="Z77" s="1"/>
  <c r="Y78"/>
  <c r="X78"/>
  <c r="X77" s="1"/>
  <c r="W78"/>
  <c r="V78"/>
  <c r="V77" s="1"/>
  <c r="U78"/>
  <c r="Q78"/>
  <c r="Q77" s="1"/>
  <c r="P78"/>
  <c r="O78"/>
  <c r="O77" s="1"/>
  <c r="N78"/>
  <c r="M78"/>
  <c r="M77" s="1"/>
  <c r="J78"/>
  <c r="I78"/>
  <c r="I77" s="1"/>
  <c r="H78"/>
  <c r="G78"/>
  <c r="G77" s="1"/>
  <c r="F78"/>
  <c r="E78"/>
  <c r="E77" s="1"/>
  <c r="D78"/>
  <c r="AL77"/>
  <c r="AG77"/>
  <c r="AE77"/>
  <c r="AC77"/>
  <c r="AA77"/>
  <c r="Y77"/>
  <c r="W77"/>
  <c r="U77"/>
  <c r="P77"/>
  <c r="N77"/>
  <c r="J77"/>
  <c r="H77"/>
  <c r="F77"/>
  <c r="D77"/>
  <c r="T76"/>
  <c r="R76"/>
  <c r="A76"/>
  <c r="AN75"/>
  <c r="AO75" s="1"/>
  <c r="K75"/>
  <c r="L75" s="1"/>
  <c r="A75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S74"/>
  <c r="Q74"/>
  <c r="P74"/>
  <c r="O74"/>
  <c r="N74"/>
  <c r="M74"/>
  <c r="J74"/>
  <c r="I74"/>
  <c r="H74"/>
  <c r="G74"/>
  <c r="F74"/>
  <c r="E74"/>
  <c r="D74"/>
  <c r="A74"/>
  <c r="AO73"/>
  <c r="AI73"/>
  <c r="Y73"/>
  <c r="P73"/>
  <c r="K73"/>
  <c r="R73" s="1"/>
  <c r="A73"/>
  <c r="AO72"/>
  <c r="AI72"/>
  <c r="Y72"/>
  <c r="Q72"/>
  <c r="Q68" s="1"/>
  <c r="Q67" s="1"/>
  <c r="P72"/>
  <c r="K72"/>
  <c r="R72" s="1"/>
  <c r="J72"/>
  <c r="I72"/>
  <c r="A72"/>
  <c r="AO71"/>
  <c r="AI71"/>
  <c r="Y71"/>
  <c r="P71"/>
  <c r="K71"/>
  <c r="L71" s="1"/>
  <c r="J71"/>
  <c r="A71"/>
  <c r="AO70"/>
  <c r="AI70"/>
  <c r="Y70"/>
  <c r="Y68" s="1"/>
  <c r="Y67" s="1"/>
  <c r="P70"/>
  <c r="K70"/>
  <c r="R70" s="1"/>
  <c r="A70"/>
  <c r="AO69"/>
  <c r="AI69"/>
  <c r="Y69"/>
  <c r="P69"/>
  <c r="K69"/>
  <c r="R69" s="1"/>
  <c r="J69"/>
  <c r="J68" s="1"/>
  <c r="J67" s="1"/>
  <c r="A69"/>
  <c r="AN68"/>
  <c r="AN67" s="1"/>
  <c r="AM68"/>
  <c r="AL68"/>
  <c r="AL67" s="1"/>
  <c r="AK68"/>
  <c r="AJ68"/>
  <c r="AJ67" s="1"/>
  <c r="AH68"/>
  <c r="AH67" s="1"/>
  <c r="AG68"/>
  <c r="AF68"/>
  <c r="AF67" s="1"/>
  <c r="AE68"/>
  <c r="AD68"/>
  <c r="AD67" s="1"/>
  <c r="AC68"/>
  <c r="AB68"/>
  <c r="AB67" s="1"/>
  <c r="AA68"/>
  <c r="Z68"/>
  <c r="Z67" s="1"/>
  <c r="X68"/>
  <c r="X67" s="1"/>
  <c r="W68"/>
  <c r="V68"/>
  <c r="V67" s="1"/>
  <c r="U68"/>
  <c r="S68"/>
  <c r="P68"/>
  <c r="P67" s="1"/>
  <c r="O68"/>
  <c r="N68"/>
  <c r="N67" s="1"/>
  <c r="M68"/>
  <c r="K68"/>
  <c r="I68"/>
  <c r="H68"/>
  <c r="G68"/>
  <c r="F68"/>
  <c r="E68"/>
  <c r="D68"/>
  <c r="A68"/>
  <c r="AM67"/>
  <c r="AK67"/>
  <c r="AG67"/>
  <c r="AE67"/>
  <c r="AC67"/>
  <c r="AA67"/>
  <c r="W67"/>
  <c r="U67"/>
  <c r="O67"/>
  <c r="M67"/>
  <c r="I67"/>
  <c r="G67"/>
  <c r="E67"/>
  <c r="A67"/>
  <c r="AO66"/>
  <c r="T66"/>
  <c r="R66"/>
  <c r="AO65"/>
  <c r="AI65"/>
  <c r="Y65"/>
  <c r="Y64" s="1"/>
  <c r="Y63" s="1"/>
  <c r="Y62" s="1"/>
  <c r="P65"/>
  <c r="K65"/>
  <c r="K64" s="1"/>
  <c r="A65"/>
  <c r="AN64"/>
  <c r="AM64"/>
  <c r="AM63" s="1"/>
  <c r="AL64"/>
  <c r="AK64"/>
  <c r="AK63" s="1"/>
  <c r="AK62" s="1"/>
  <c r="AJ64"/>
  <c r="AI64"/>
  <c r="AI63" s="1"/>
  <c r="AH64"/>
  <c r="AG64"/>
  <c r="AG63" s="1"/>
  <c r="AG62" s="1"/>
  <c r="AF64"/>
  <c r="AE64"/>
  <c r="AE63" s="1"/>
  <c r="AE62" s="1"/>
  <c r="AD64"/>
  <c r="AC64"/>
  <c r="AC63" s="1"/>
  <c r="AC62" s="1"/>
  <c r="AB64"/>
  <c r="AA64"/>
  <c r="AA63" s="1"/>
  <c r="AA62" s="1"/>
  <c r="Z64"/>
  <c r="X64"/>
  <c r="W64"/>
  <c r="W63" s="1"/>
  <c r="W62" s="1"/>
  <c r="V64"/>
  <c r="U64"/>
  <c r="U63" s="1"/>
  <c r="U62" s="1"/>
  <c r="S64"/>
  <c r="Q64"/>
  <c r="Q63" s="1"/>
  <c r="Q62" s="1"/>
  <c r="P64"/>
  <c r="O64"/>
  <c r="O63" s="1"/>
  <c r="O62" s="1"/>
  <c r="N64"/>
  <c r="M64"/>
  <c r="M63" s="1"/>
  <c r="M62" s="1"/>
  <c r="J64"/>
  <c r="I64"/>
  <c r="I63" s="1"/>
  <c r="I62" s="1"/>
  <c r="H64"/>
  <c r="G64"/>
  <c r="G63" s="1"/>
  <c r="G62" s="1"/>
  <c r="F64"/>
  <c r="E64"/>
  <c r="E63" s="1"/>
  <c r="E62" s="1"/>
  <c r="D64"/>
  <c r="A64"/>
  <c r="AN63"/>
  <c r="AL63"/>
  <c r="AJ63"/>
  <c r="AH63"/>
  <c r="AF63"/>
  <c r="AD63"/>
  <c r="AB63"/>
  <c r="Z63"/>
  <c r="X63"/>
  <c r="V63"/>
  <c r="S63"/>
  <c r="P63"/>
  <c r="N63"/>
  <c r="J63"/>
  <c r="H63"/>
  <c r="F63"/>
  <c r="D63"/>
  <c r="A63"/>
  <c r="A62"/>
  <c r="AO61"/>
  <c r="T61"/>
  <c r="R61"/>
  <c r="L61"/>
  <c r="AN60"/>
  <c r="AM60"/>
  <c r="AM59" s="1"/>
  <c r="AL60"/>
  <c r="AK60"/>
  <c r="AK59" s="1"/>
  <c r="AJ60"/>
  <c r="AI60"/>
  <c r="AI59" s="1"/>
  <c r="AH60"/>
  <c r="AG60"/>
  <c r="AG59" s="1"/>
  <c r="AF60"/>
  <c r="AE60"/>
  <c r="AE59" s="1"/>
  <c r="AD60"/>
  <c r="AO60" s="1"/>
  <c r="AC60"/>
  <c r="AC59" s="1"/>
  <c r="AB60"/>
  <c r="AA60"/>
  <c r="AA59" s="1"/>
  <c r="Z60"/>
  <c r="Y60"/>
  <c r="Y59" s="1"/>
  <c r="X60"/>
  <c r="W60"/>
  <c r="W59" s="1"/>
  <c r="V60"/>
  <c r="U60"/>
  <c r="U59" s="1"/>
  <c r="S60"/>
  <c r="R60"/>
  <c r="R59" s="1"/>
  <c r="Q60"/>
  <c r="P60"/>
  <c r="P59" s="1"/>
  <c r="O60"/>
  <c r="N60"/>
  <c r="N59" s="1"/>
  <c r="M60"/>
  <c r="K60"/>
  <c r="L60" s="1"/>
  <c r="J60"/>
  <c r="I60"/>
  <c r="I59" s="1"/>
  <c r="H60"/>
  <c r="G60"/>
  <c r="G59" s="1"/>
  <c r="F60"/>
  <c r="E60"/>
  <c r="E59" s="1"/>
  <c r="D60"/>
  <c r="AN59"/>
  <c r="AL59"/>
  <c r="AJ59"/>
  <c r="AH59"/>
  <c r="AF59"/>
  <c r="AD59"/>
  <c r="AB59"/>
  <c r="Z59"/>
  <c r="X59"/>
  <c r="V59"/>
  <c r="S59"/>
  <c r="Q59"/>
  <c r="O59"/>
  <c r="M59"/>
  <c r="J59"/>
  <c r="H59"/>
  <c r="F59"/>
  <c r="D59"/>
  <c r="AO58"/>
  <c r="T58"/>
  <c r="R58"/>
  <c r="L58"/>
  <c r="AO57"/>
  <c r="AF57"/>
  <c r="AF54" s="1"/>
  <c r="V57"/>
  <c r="N57"/>
  <c r="N54" s="1"/>
  <c r="K57"/>
  <c r="L57" s="1"/>
  <c r="A57"/>
  <c r="AN56"/>
  <c r="AO56" s="1"/>
  <c r="T56"/>
  <c r="R56"/>
  <c r="L56"/>
  <c r="A56"/>
  <c r="AO55"/>
  <c r="T55"/>
  <c r="R55"/>
  <c r="L55"/>
  <c r="A55"/>
  <c r="AM54"/>
  <c r="AL54"/>
  <c r="AK54"/>
  <c r="AJ54"/>
  <c r="AI54"/>
  <c r="AH54"/>
  <c r="AG54"/>
  <c r="AE54"/>
  <c r="AD54"/>
  <c r="AC54"/>
  <c r="AB54"/>
  <c r="AA54"/>
  <c r="Z54"/>
  <c r="Y54"/>
  <c r="X54"/>
  <c r="W54"/>
  <c r="V54"/>
  <c r="U54"/>
  <c r="S54"/>
  <c r="Q54"/>
  <c r="P54"/>
  <c r="O54"/>
  <c r="M54"/>
  <c r="K54"/>
  <c r="J54"/>
  <c r="I54"/>
  <c r="H54"/>
  <c r="G54"/>
  <c r="F54"/>
  <c r="E54"/>
  <c r="D54"/>
  <c r="A54"/>
  <c r="AO53"/>
  <c r="T53"/>
  <c r="R53"/>
  <c r="L53"/>
  <c r="AN52"/>
  <c r="AM52"/>
  <c r="AL52"/>
  <c r="AK52"/>
  <c r="AK51" s="1"/>
  <c r="AJ52"/>
  <c r="AI52"/>
  <c r="AH52"/>
  <c r="AG52"/>
  <c r="AF52"/>
  <c r="AE52"/>
  <c r="AE51" s="1"/>
  <c r="AD52"/>
  <c r="AO52" s="1"/>
  <c r="AC52"/>
  <c r="AC51" s="1"/>
  <c r="AB52"/>
  <c r="AA52"/>
  <c r="AA51" s="1"/>
  <c r="Z52"/>
  <c r="Y52"/>
  <c r="Y51" s="1"/>
  <c r="X52"/>
  <c r="W52"/>
  <c r="W51" s="1"/>
  <c r="V52"/>
  <c r="U52"/>
  <c r="U51" s="1"/>
  <c r="S52"/>
  <c r="R52"/>
  <c r="Q52"/>
  <c r="P52"/>
  <c r="P51" s="1"/>
  <c r="O52"/>
  <c r="N52"/>
  <c r="M52"/>
  <c r="K52"/>
  <c r="L52" s="1"/>
  <c r="J52"/>
  <c r="I52"/>
  <c r="I51" s="1"/>
  <c r="H52"/>
  <c r="G52"/>
  <c r="G51" s="1"/>
  <c r="F52"/>
  <c r="E52"/>
  <c r="E51" s="1"/>
  <c r="D52"/>
  <c r="AM51"/>
  <c r="AL51"/>
  <c r="AJ51"/>
  <c r="AI51"/>
  <c r="AH51"/>
  <c r="AG51"/>
  <c r="AD51"/>
  <c r="AB51"/>
  <c r="Z51"/>
  <c r="X51"/>
  <c r="V51"/>
  <c r="S51"/>
  <c r="Q51"/>
  <c r="O51"/>
  <c r="M51"/>
  <c r="J51"/>
  <c r="H51"/>
  <c r="F51"/>
  <c r="D51"/>
  <c r="A51"/>
  <c r="AO50"/>
  <c r="T50"/>
  <c r="R50"/>
  <c r="L50"/>
  <c r="A50"/>
  <c r="AO49"/>
  <c r="AE49"/>
  <c r="AE43" s="1"/>
  <c r="U49"/>
  <c r="M49"/>
  <c r="M43" s="1"/>
  <c r="K49"/>
  <c r="R49" s="1"/>
  <c r="A49"/>
  <c r="AO48"/>
  <c r="T48"/>
  <c r="R48"/>
  <c r="L48"/>
  <c r="A48"/>
  <c r="AN47"/>
  <c r="T47"/>
  <c r="R47"/>
  <c r="D47"/>
  <c r="L47" s="1"/>
  <c r="A47"/>
  <c r="AN46"/>
  <c r="AO46" s="1"/>
  <c r="T46"/>
  <c r="R46"/>
  <c r="L46"/>
  <c r="A46"/>
  <c r="AO45"/>
  <c r="T45"/>
  <c r="R45"/>
  <c r="R43" s="1"/>
  <c r="L45"/>
  <c r="A45"/>
  <c r="AO44"/>
  <c r="T44"/>
  <c r="R44"/>
  <c r="L44"/>
  <c r="A44"/>
  <c r="AM43"/>
  <c r="AL43"/>
  <c r="AK43"/>
  <c r="AJ43"/>
  <c r="AI43"/>
  <c r="AH43"/>
  <c r="AG43"/>
  <c r="AF43"/>
  <c r="AD43"/>
  <c r="AC43"/>
  <c r="AB43"/>
  <c r="AA43"/>
  <c r="Z43"/>
  <c r="Y43"/>
  <c r="X43"/>
  <c r="W43"/>
  <c r="V43"/>
  <c r="U43"/>
  <c r="S43"/>
  <c r="Q43"/>
  <c r="P43"/>
  <c r="O43"/>
  <c r="N43"/>
  <c r="K43"/>
  <c r="J43"/>
  <c r="I43"/>
  <c r="H43"/>
  <c r="G43"/>
  <c r="F43"/>
  <c r="E43"/>
  <c r="A43"/>
  <c r="AN42"/>
  <c r="T42"/>
  <c r="R42"/>
  <c r="L42"/>
  <c r="A42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S41"/>
  <c r="R41"/>
  <c r="Q41"/>
  <c r="P41"/>
  <c r="O41"/>
  <c r="N41"/>
  <c r="M41"/>
  <c r="K41"/>
  <c r="J41"/>
  <c r="I41"/>
  <c r="H41"/>
  <c r="G41"/>
  <c r="F41"/>
  <c r="E41"/>
  <c r="D41"/>
  <c r="A41"/>
  <c r="AO40"/>
  <c r="M40"/>
  <c r="K40"/>
  <c r="T40" s="1"/>
  <c r="A40"/>
  <c r="AO39"/>
  <c r="T39"/>
  <c r="R39"/>
  <c r="L39"/>
  <c r="A39"/>
  <c r="AO38"/>
  <c r="T38"/>
  <c r="R38"/>
  <c r="L38"/>
  <c r="A38"/>
  <c r="AO37"/>
  <c r="T37"/>
  <c r="R37"/>
  <c r="L37"/>
  <c r="A37"/>
  <c r="AO36"/>
  <c r="T36"/>
  <c r="K36"/>
  <c r="L36" s="1"/>
  <c r="A36"/>
  <c r="AO35"/>
  <c r="T35"/>
  <c r="R35"/>
  <c r="L35"/>
  <c r="A35"/>
  <c r="AN34"/>
  <c r="AO34" s="1"/>
  <c r="T34"/>
  <c r="R34"/>
  <c r="L34"/>
  <c r="A34"/>
  <c r="AN33"/>
  <c r="AI33"/>
  <c r="AI31" s="1"/>
  <c r="AG33"/>
  <c r="AD33"/>
  <c r="AD31" s="1"/>
  <c r="Y33"/>
  <c r="W33"/>
  <c r="W31" s="1"/>
  <c r="S33"/>
  <c r="Q33"/>
  <c r="M33"/>
  <c r="M31" s="1"/>
  <c r="K33"/>
  <c r="J33"/>
  <c r="J31" s="1"/>
  <c r="D33"/>
  <c r="A33"/>
  <c r="AO32"/>
  <c r="K32"/>
  <c r="R32" s="1"/>
  <c r="A32"/>
  <c r="AN31"/>
  <c r="AM31"/>
  <c r="AL31"/>
  <c r="AK31"/>
  <c r="AJ31"/>
  <c r="AH31"/>
  <c r="AG31"/>
  <c r="AF31"/>
  <c r="AE31"/>
  <c r="AC31"/>
  <c r="AB31"/>
  <c r="AA31"/>
  <c r="Z31"/>
  <c r="Y31"/>
  <c r="X31"/>
  <c r="V31"/>
  <c r="U31"/>
  <c r="Q31"/>
  <c r="P31"/>
  <c r="O31"/>
  <c r="N31"/>
  <c r="I31"/>
  <c r="H31"/>
  <c r="G31"/>
  <c r="F31"/>
  <c r="E31"/>
  <c r="A31"/>
  <c r="AN30"/>
  <c r="AO30" s="1"/>
  <c r="T30"/>
  <c r="R30"/>
  <c r="L30"/>
  <c r="A30"/>
  <c r="AN29"/>
  <c r="AO29" s="1"/>
  <c r="T29"/>
  <c r="R29"/>
  <c r="L29"/>
  <c r="A29"/>
  <c r="AO28"/>
  <c r="T28"/>
  <c r="R28"/>
  <c r="L28"/>
  <c r="A28"/>
  <c r="AO27"/>
  <c r="K27"/>
  <c r="R27" s="1"/>
  <c r="A27"/>
  <c r="AD26"/>
  <c r="AO26" s="1"/>
  <c r="S26"/>
  <c r="O26"/>
  <c r="O24" s="1"/>
  <c r="M26"/>
  <c r="K26"/>
  <c r="R26" s="1"/>
  <c r="D26"/>
  <c r="A26"/>
  <c r="AO25"/>
  <c r="M25"/>
  <c r="M24" s="1"/>
  <c r="K25"/>
  <c r="T25" s="1"/>
  <c r="A25"/>
  <c r="AN24"/>
  <c r="AM24"/>
  <c r="AL24"/>
  <c r="AK24"/>
  <c r="AJ24"/>
  <c r="AI24"/>
  <c r="AH24"/>
  <c r="AG24"/>
  <c r="AF24"/>
  <c r="AE24"/>
  <c r="AD24"/>
  <c r="AO24" s="1"/>
  <c r="AC24"/>
  <c r="AB24"/>
  <c r="AA24"/>
  <c r="Z24"/>
  <c r="Y24"/>
  <c r="X24"/>
  <c r="W24"/>
  <c r="V24"/>
  <c r="U24"/>
  <c r="S24"/>
  <c r="Q24"/>
  <c r="P24"/>
  <c r="N24"/>
  <c r="J24"/>
  <c r="I24"/>
  <c r="H24"/>
  <c r="G24"/>
  <c r="F24"/>
  <c r="E24"/>
  <c r="D24"/>
  <c r="A24"/>
  <c r="AO23"/>
  <c r="T23"/>
  <c r="R23"/>
  <c r="L23"/>
  <c r="A23"/>
  <c r="AN22"/>
  <c r="AO22" s="1"/>
  <c r="T22"/>
  <c r="R22"/>
  <c r="L22"/>
  <c r="A22"/>
  <c r="AO21"/>
  <c r="AE21"/>
  <c r="AE19" s="1"/>
  <c r="U21"/>
  <c r="M21"/>
  <c r="K21"/>
  <c r="L21" s="1"/>
  <c r="E21"/>
  <c r="A21"/>
  <c r="AN20"/>
  <c r="T20"/>
  <c r="R20"/>
  <c r="L20"/>
  <c r="A20"/>
  <c r="AN19"/>
  <c r="AM19"/>
  <c r="AL19"/>
  <c r="AL18" s="1"/>
  <c r="AK19"/>
  <c r="AJ19"/>
  <c r="AJ18" s="1"/>
  <c r="AI19"/>
  <c r="AH19"/>
  <c r="AH18" s="1"/>
  <c r="AG19"/>
  <c r="AF19"/>
  <c r="AF18" s="1"/>
  <c r="AD19"/>
  <c r="AC19"/>
  <c r="AC18" s="1"/>
  <c r="AB19"/>
  <c r="AA19"/>
  <c r="Z19"/>
  <c r="Y19"/>
  <c r="Y18" s="1"/>
  <c r="X19"/>
  <c r="W19"/>
  <c r="V19"/>
  <c r="U19"/>
  <c r="U18" s="1"/>
  <c r="S19"/>
  <c r="Q19"/>
  <c r="Q18" s="1"/>
  <c r="P19"/>
  <c r="O19"/>
  <c r="O18" s="1"/>
  <c r="N19"/>
  <c r="M19"/>
  <c r="J19"/>
  <c r="I19"/>
  <c r="I18" s="1"/>
  <c r="H19"/>
  <c r="G19"/>
  <c r="G18" s="1"/>
  <c r="F19"/>
  <c r="E19"/>
  <c r="E18" s="1"/>
  <c r="D19"/>
  <c r="A19"/>
  <c r="AK18"/>
  <c r="AG18"/>
  <c r="AA18"/>
  <c r="N18"/>
  <c r="A18"/>
  <c r="AO17"/>
  <c r="T17"/>
  <c r="R17"/>
  <c r="D17"/>
  <c r="L17" s="1"/>
  <c r="AO16"/>
  <c r="AE16"/>
  <c r="U16"/>
  <c r="U15" s="1"/>
  <c r="T16"/>
  <c r="R16"/>
  <c r="M16"/>
  <c r="M15" s="1"/>
  <c r="E16"/>
  <c r="D16"/>
  <c r="L16" s="1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S15"/>
  <c r="R15"/>
  <c r="Q15"/>
  <c r="P15"/>
  <c r="O15"/>
  <c r="N15"/>
  <c r="K15"/>
  <c r="J15"/>
  <c r="I15"/>
  <c r="H15"/>
  <c r="G15"/>
  <c r="F15"/>
  <c r="E15"/>
  <c r="D15"/>
  <c r="A15"/>
  <c r="AN14"/>
  <c r="AO14" s="1"/>
  <c r="AE14"/>
  <c r="U14"/>
  <c r="U13" s="1"/>
  <c r="T14"/>
  <c r="R14"/>
  <c r="R13" s="1"/>
  <c r="M14"/>
  <c r="L14"/>
  <c r="E14"/>
  <c r="A14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S13"/>
  <c r="T13" s="1"/>
  <c r="Q13"/>
  <c r="P13"/>
  <c r="O13"/>
  <c r="N13"/>
  <c r="M13"/>
  <c r="K13"/>
  <c r="J13"/>
  <c r="I13"/>
  <c r="H13"/>
  <c r="G13"/>
  <c r="G8" s="1"/>
  <c r="G7" s="1"/>
  <c r="F13"/>
  <c r="E13"/>
  <c r="D13"/>
  <c r="A13"/>
  <c r="AN12"/>
  <c r="AE12"/>
  <c r="U12"/>
  <c r="T12"/>
  <c r="R12"/>
  <c r="M12"/>
  <c r="L12"/>
  <c r="E12"/>
  <c r="A12"/>
  <c r="AO11"/>
  <c r="T11"/>
  <c r="R11"/>
  <c r="D11"/>
  <c r="L11" s="1"/>
  <c r="A11"/>
  <c r="AO10"/>
  <c r="AE10"/>
  <c r="U10"/>
  <c r="U9" s="1"/>
  <c r="T10"/>
  <c r="R10"/>
  <c r="M10"/>
  <c r="M9" s="1"/>
  <c r="M8" s="1"/>
  <c r="E10"/>
  <c r="D10"/>
  <c r="L10" s="1"/>
  <c r="A10"/>
  <c r="AM9"/>
  <c r="AM8" s="1"/>
  <c r="AL9"/>
  <c r="AK9"/>
  <c r="AJ9"/>
  <c r="AI9"/>
  <c r="AI8" s="1"/>
  <c r="AH9"/>
  <c r="AG9"/>
  <c r="AF9"/>
  <c r="AE9"/>
  <c r="AE8" s="1"/>
  <c r="AD9"/>
  <c r="AC9"/>
  <c r="AB9"/>
  <c r="AA9"/>
  <c r="AA8" s="1"/>
  <c r="Z9"/>
  <c r="Y9"/>
  <c r="X9"/>
  <c r="W9"/>
  <c r="W8" s="1"/>
  <c r="V9"/>
  <c r="S9"/>
  <c r="Q9"/>
  <c r="P9"/>
  <c r="O9"/>
  <c r="N9"/>
  <c r="K9"/>
  <c r="J9"/>
  <c r="J8" s="1"/>
  <c r="I9"/>
  <c r="H9"/>
  <c r="G9"/>
  <c r="F9"/>
  <c r="F8" s="1"/>
  <c r="A9"/>
  <c r="AK8"/>
  <c r="AG8"/>
  <c r="AC8"/>
  <c r="Y8"/>
  <c r="S8"/>
  <c r="Q8"/>
  <c r="P8"/>
  <c r="O8"/>
  <c r="N8"/>
  <c r="H8"/>
  <c r="A8"/>
  <c r="A7"/>
  <c r="M26" i="19"/>
  <c r="F21"/>
  <c r="G20"/>
  <c r="F7" i="35" l="1"/>
  <c r="T43"/>
  <c r="AA7"/>
  <c r="V62"/>
  <c r="K8"/>
  <c r="X8"/>
  <c r="AB8"/>
  <c r="AF8"/>
  <c r="AJ8"/>
  <c r="O7"/>
  <c r="F18"/>
  <c r="J18"/>
  <c r="J7" s="1"/>
  <c r="J84" s="1"/>
  <c r="W18"/>
  <c r="W7" s="1"/>
  <c r="W84" s="1"/>
  <c r="T41"/>
  <c r="AG7"/>
  <c r="N62"/>
  <c r="Z62"/>
  <c r="AH62"/>
  <c r="D67"/>
  <c r="D62" s="1"/>
  <c r="H67"/>
  <c r="H62" s="1"/>
  <c r="D9"/>
  <c r="D8" s="1"/>
  <c r="E9"/>
  <c r="E8" s="1"/>
  <c r="U8"/>
  <c r="R33"/>
  <c r="AK7"/>
  <c r="N51"/>
  <c r="N7" s="1"/>
  <c r="AO59"/>
  <c r="T68"/>
  <c r="X62"/>
  <c r="J62"/>
  <c r="AI68"/>
  <c r="AI67" s="1"/>
  <c r="R71"/>
  <c r="L72"/>
  <c r="I8"/>
  <c r="V8"/>
  <c r="Z8"/>
  <c r="Z7" s="1"/>
  <c r="Z84" s="1"/>
  <c r="AD8"/>
  <c r="AH8"/>
  <c r="AH7" s="1"/>
  <c r="AL8"/>
  <c r="AL7" s="1"/>
  <c r="Q7"/>
  <c r="V18"/>
  <c r="Z18"/>
  <c r="L33"/>
  <c r="AI62"/>
  <c r="L68"/>
  <c r="P62"/>
  <c r="AB62"/>
  <c r="AF62"/>
  <c r="F67"/>
  <c r="F62" s="1"/>
  <c r="F84" s="1"/>
  <c r="AL62"/>
  <c r="AA84"/>
  <c r="AM62"/>
  <c r="AM84" s="1"/>
  <c r="O84"/>
  <c r="AO67"/>
  <c r="G84"/>
  <c r="AG84"/>
  <c r="AK84"/>
  <c r="N84"/>
  <c r="N96" s="1"/>
  <c r="O96" s="1"/>
  <c r="AH84"/>
  <c r="U7"/>
  <c r="AN13"/>
  <c r="AO13" s="1"/>
  <c r="L15"/>
  <c r="AD18"/>
  <c r="AD7" s="1"/>
  <c r="P18"/>
  <c r="P7" s="1"/>
  <c r="AI18"/>
  <c r="AI7" s="1"/>
  <c r="AM18"/>
  <c r="AM7" s="1"/>
  <c r="R25"/>
  <c r="R24" s="1"/>
  <c r="T26"/>
  <c r="S31"/>
  <c r="S18" s="1"/>
  <c r="S7" s="1"/>
  <c r="T33"/>
  <c r="R40"/>
  <c r="L41"/>
  <c r="AN43"/>
  <c r="AO43" s="1"/>
  <c r="L54"/>
  <c r="R57"/>
  <c r="R54" s="1"/>
  <c r="R51" s="1"/>
  <c r="T60"/>
  <c r="S67"/>
  <c r="S62" s="1"/>
  <c r="T72"/>
  <c r="AN78"/>
  <c r="AJ62"/>
  <c r="L80"/>
  <c r="L82"/>
  <c r="AO15"/>
  <c r="I7"/>
  <c r="AC7"/>
  <c r="AO33"/>
  <c r="AO78"/>
  <c r="R9"/>
  <c r="E7"/>
  <c r="E84" s="1"/>
  <c r="Y7"/>
  <c r="R21"/>
  <c r="R19" s="1"/>
  <c r="L9"/>
  <c r="AN9"/>
  <c r="AN8" s="1"/>
  <c r="AO8" s="1"/>
  <c r="AO12"/>
  <c r="L13"/>
  <c r="T15"/>
  <c r="H18"/>
  <c r="H7" s="1"/>
  <c r="X18"/>
  <c r="X7" s="1"/>
  <c r="X84" s="1"/>
  <c r="AB18"/>
  <c r="AB7" s="1"/>
  <c r="AB84" s="1"/>
  <c r="K24"/>
  <c r="L24" s="1"/>
  <c r="L25"/>
  <c r="L40"/>
  <c r="D43"/>
  <c r="L43" s="1"/>
  <c r="L49"/>
  <c r="K51"/>
  <c r="L51" s="1"/>
  <c r="T52"/>
  <c r="AF51"/>
  <c r="AF7" s="1"/>
  <c r="AF84" s="1"/>
  <c r="AF96" s="1"/>
  <c r="AG96" s="1"/>
  <c r="K59"/>
  <c r="L59" s="1"/>
  <c r="AD77"/>
  <c r="R79"/>
  <c r="R78" s="1"/>
  <c r="R77" s="1"/>
  <c r="AO80"/>
  <c r="L81"/>
  <c r="AO82"/>
  <c r="AD89"/>
  <c r="AD92" s="1"/>
  <c r="M18"/>
  <c r="M7" s="1"/>
  <c r="M84" s="1"/>
  <c r="AJ7"/>
  <c r="AE18"/>
  <c r="AE7" s="1"/>
  <c r="AE84" s="1"/>
  <c r="T51"/>
  <c r="T59"/>
  <c r="AO63"/>
  <c r="AO68"/>
  <c r="AO74"/>
  <c r="T79"/>
  <c r="H84"/>
  <c r="Q84"/>
  <c r="T64"/>
  <c r="L64"/>
  <c r="K63"/>
  <c r="P84"/>
  <c r="R8"/>
  <c r="I84"/>
  <c r="U84"/>
  <c r="V95" s="1"/>
  <c r="Y84"/>
  <c r="AC84"/>
  <c r="R68"/>
  <c r="T8"/>
  <c r="T9"/>
  <c r="AO19"/>
  <c r="AO20"/>
  <c r="T21"/>
  <c r="T24"/>
  <c r="L26"/>
  <c r="L27"/>
  <c r="AO31"/>
  <c r="L32"/>
  <c r="AO41"/>
  <c r="AO42"/>
  <c r="AO47"/>
  <c r="T54"/>
  <c r="T57"/>
  <c r="AO64"/>
  <c r="L65"/>
  <c r="L69"/>
  <c r="L70"/>
  <c r="T71"/>
  <c r="L73"/>
  <c r="K78"/>
  <c r="T80"/>
  <c r="T81"/>
  <c r="T82"/>
  <c r="T65"/>
  <c r="T69"/>
  <c r="T70"/>
  <c r="T73"/>
  <c r="T75"/>
  <c r="AE98"/>
  <c r="AN18"/>
  <c r="T27"/>
  <c r="D31"/>
  <c r="D18" s="1"/>
  <c r="D7" s="1"/>
  <c r="D84" s="1"/>
  <c r="T32"/>
  <c r="R36"/>
  <c r="R31" s="1"/>
  <c r="T49"/>
  <c r="R65"/>
  <c r="R64" s="1"/>
  <c r="R63" s="1"/>
  <c r="K74"/>
  <c r="R75"/>
  <c r="R74" s="1"/>
  <c r="L79"/>
  <c r="K19"/>
  <c r="K31"/>
  <c r="AN54"/>
  <c r="M6" i="19"/>
  <c r="N97" i="35" l="1"/>
  <c r="O97" s="1"/>
  <c r="V7"/>
  <c r="V84" s="1"/>
  <c r="V96" s="1"/>
  <c r="W96" s="1"/>
  <c r="AJ84"/>
  <c r="L8"/>
  <c r="AI84"/>
  <c r="AI86" s="1"/>
  <c r="AF95" s="1"/>
  <c r="AL84"/>
  <c r="AF97" s="1"/>
  <c r="AG97" s="1"/>
  <c r="S84"/>
  <c r="R18"/>
  <c r="R7" s="1"/>
  <c r="AO9"/>
  <c r="AN77"/>
  <c r="V97"/>
  <c r="W97" s="1"/>
  <c r="AD62"/>
  <c r="T31"/>
  <c r="L31"/>
  <c r="T78"/>
  <c r="L78"/>
  <c r="K77"/>
  <c r="R67"/>
  <c r="R62" s="1"/>
  <c r="AO54"/>
  <c r="AN51"/>
  <c r="AN7" s="1"/>
  <c r="W95"/>
  <c r="L63"/>
  <c r="K62"/>
  <c r="AO18"/>
  <c r="T63"/>
  <c r="N95"/>
  <c r="T19"/>
  <c r="L19"/>
  <c r="K18"/>
  <c r="T74"/>
  <c r="L74"/>
  <c r="K67"/>
  <c r="C17" i="19"/>
  <c r="C18"/>
  <c r="AG95" i="35" l="1"/>
  <c r="AF98"/>
  <c r="AG98" s="1"/>
  <c r="AN62"/>
  <c r="R84"/>
  <c r="V98"/>
  <c r="W98" s="1"/>
  <c r="AO62"/>
  <c r="AD84"/>
  <c r="AO77"/>
  <c r="L18"/>
  <c r="K7"/>
  <c r="T18"/>
  <c r="AO7"/>
  <c r="AN84"/>
  <c r="AO51"/>
  <c r="N98"/>
  <c r="O98" s="1"/>
  <c r="O95"/>
  <c r="K84"/>
  <c r="L62"/>
  <c r="T62"/>
  <c r="T77"/>
  <c r="L77"/>
  <c r="L67"/>
  <c r="T67"/>
  <c r="AO84" l="1"/>
  <c r="K88"/>
  <c r="K89" s="1"/>
  <c r="K92" s="1"/>
  <c r="L84"/>
  <c r="T84"/>
  <c r="L7"/>
  <c r="T7"/>
  <c r="L22" i="19" l="1"/>
  <c r="M22" s="1"/>
  <c r="K23"/>
  <c r="B23"/>
  <c r="L14" l="1"/>
  <c r="M14" s="1"/>
  <c r="M9"/>
  <c r="L9"/>
  <c r="D23" l="1"/>
  <c r="J23" l="1"/>
  <c r="I23"/>
  <c r="H23"/>
  <c r="G23"/>
  <c r="F23"/>
  <c r="E23"/>
  <c r="C23"/>
  <c r="L21"/>
  <c r="N21" s="1"/>
  <c r="L20"/>
  <c r="N20" s="1"/>
  <c r="L19"/>
  <c r="L18"/>
  <c r="L17"/>
  <c r="L16"/>
  <c r="L15"/>
  <c r="L13"/>
  <c r="L12"/>
  <c r="L11"/>
  <c r="L10"/>
  <c r="L8"/>
  <c r="L7"/>
  <c r="L6"/>
  <c r="M19" l="1"/>
  <c r="N19"/>
  <c r="M7"/>
  <c r="N7"/>
  <c r="M21"/>
  <c r="M13"/>
  <c r="N13"/>
  <c r="M12"/>
  <c r="N12"/>
  <c r="M11"/>
  <c r="N11"/>
  <c r="N6"/>
  <c r="M10"/>
  <c r="N10"/>
  <c r="M8"/>
  <c r="N8"/>
  <c r="M17"/>
  <c r="N17"/>
  <c r="M18"/>
  <c r="N18"/>
  <c r="M16"/>
  <c r="N16"/>
  <c r="M15"/>
  <c r="N15"/>
  <c r="C24"/>
  <c r="M20"/>
  <c r="L23"/>
  <c r="N23" l="1"/>
  <c r="M23"/>
  <c r="L26"/>
  <c r="L28" l="1"/>
  <c r="M28" l="1"/>
</calcChain>
</file>

<file path=xl/sharedStrings.xml><?xml version="1.0" encoding="utf-8"?>
<sst xmlns="http://schemas.openxmlformats.org/spreadsheetml/2006/main" count="291" uniqueCount="225">
  <si>
    <t>UKUPNO</t>
  </si>
  <si>
    <t>Otplata glavn. Primlj. Zajmova od kred. Institituc.</t>
  </si>
  <si>
    <t>Izdaci za otpl. Glavn. Primljenih zajmova</t>
  </si>
  <si>
    <t>Izd. Za financ.imov.i otplate zajmova</t>
  </si>
  <si>
    <t>Ulaganja u računalne programe</t>
  </si>
  <si>
    <t>4262</t>
  </si>
  <si>
    <t>426</t>
  </si>
  <si>
    <t>4227</t>
  </si>
  <si>
    <t>Medicinska i laboratorijska oprema</t>
  </si>
  <si>
    <t>4224</t>
  </si>
  <si>
    <t>Oprema za održavanje i zaštitu</t>
  </si>
  <si>
    <t>4223</t>
  </si>
  <si>
    <t>Komunikacijska oprema</t>
  </si>
  <si>
    <t>4222</t>
  </si>
  <si>
    <t>Uredska oprema i namještaj</t>
  </si>
  <si>
    <t>4221</t>
  </si>
  <si>
    <t>Postrojenja i oprema</t>
  </si>
  <si>
    <t>422</t>
  </si>
  <si>
    <t>Rash. za nabavu proizv. dugotr. imovine</t>
  </si>
  <si>
    <t>42</t>
  </si>
  <si>
    <t>Licence</t>
  </si>
  <si>
    <t>4123</t>
  </si>
  <si>
    <t>Nematerijalna imovina</t>
  </si>
  <si>
    <t>412</t>
  </si>
  <si>
    <t>Rash. za nabavu neproizv. Dugotr. imovine</t>
  </si>
  <si>
    <t>41</t>
  </si>
  <si>
    <t>Rashodi za nabavu nefinancijske imovine</t>
  </si>
  <si>
    <t>4</t>
  </si>
  <si>
    <t>3434</t>
  </si>
  <si>
    <t>Zatezne kamate</t>
  </si>
  <si>
    <t>3433</t>
  </si>
  <si>
    <t xml:space="preserve">Negativne tečajne razlike </t>
  </si>
  <si>
    <t>3432</t>
  </si>
  <si>
    <t>3431</t>
  </si>
  <si>
    <t>Ostali financijski rashodi</t>
  </si>
  <si>
    <t>343</t>
  </si>
  <si>
    <t>Kam. za primlj kredite od krd. Inst.</t>
  </si>
  <si>
    <t>Kamate za primlj. Kredite</t>
  </si>
  <si>
    <t>Financijski rashodi</t>
  </si>
  <si>
    <t>34</t>
  </si>
  <si>
    <t>Ostali nespomenuti rashodi posl.</t>
  </si>
  <si>
    <t>3299</t>
  </si>
  <si>
    <t>Troškovi sudskih postupaka</t>
  </si>
  <si>
    <t>3296</t>
  </si>
  <si>
    <t>Pristojbe i naknade</t>
  </si>
  <si>
    <t>3295</t>
  </si>
  <si>
    <t>Članarine i norme</t>
  </si>
  <si>
    <t>3294</t>
  </si>
  <si>
    <t>Reprezentacija</t>
  </si>
  <si>
    <t>3293</t>
  </si>
  <si>
    <t>Premije osiguranja</t>
  </si>
  <si>
    <t>3292</t>
  </si>
  <si>
    <t>Naknade za rad predst.i izvrš. tijela, povjer. i slično</t>
  </si>
  <si>
    <t>3291</t>
  </si>
  <si>
    <t>Ostali nespomenuti rashodi poslovanja</t>
  </si>
  <si>
    <t>329</t>
  </si>
  <si>
    <t>3241</t>
  </si>
  <si>
    <t>Naknade troškova osobama izvan radnog odnosa</t>
  </si>
  <si>
    <t>324</t>
  </si>
  <si>
    <t>Ostale usluge</t>
  </si>
  <si>
    <t>3239</t>
  </si>
  <si>
    <t>Računalne usluge</t>
  </si>
  <si>
    <t>3238</t>
  </si>
  <si>
    <t>Intelektualne i osobne usluge</t>
  </si>
  <si>
    <t>3237</t>
  </si>
  <si>
    <t>Zdravstvene i veterinarske usluge</t>
  </si>
  <si>
    <t>3236</t>
  </si>
  <si>
    <t>Zakupnine i najamnine</t>
  </si>
  <si>
    <t>3235</t>
  </si>
  <si>
    <t>Komunalne usluge</t>
  </si>
  <si>
    <t>3234</t>
  </si>
  <si>
    <t>Usluge promidžbe i informiranja</t>
  </si>
  <si>
    <t>3233</t>
  </si>
  <si>
    <t>Usluge tekućeg i inv.  održavanja</t>
  </si>
  <si>
    <t>3232</t>
  </si>
  <si>
    <t>Usluge telefona, pošte i prijevoza</t>
  </si>
  <si>
    <t>3231</t>
  </si>
  <si>
    <t>Rashodi za usluge</t>
  </si>
  <si>
    <t>323</t>
  </si>
  <si>
    <t>Službena, radna i zašt.odjeća i ob.</t>
  </si>
  <si>
    <t>3227</t>
  </si>
  <si>
    <t>Sitni inventar i auto gume</t>
  </si>
  <si>
    <t>3225</t>
  </si>
  <si>
    <t>Materijal i dijel. za tek. i invest. Održ.</t>
  </si>
  <si>
    <t>3224</t>
  </si>
  <si>
    <t>Energija</t>
  </si>
  <si>
    <t>3223</t>
  </si>
  <si>
    <t>Materijal i sirovine</t>
  </si>
  <si>
    <t>3222</t>
  </si>
  <si>
    <t>Uredski materijal i ostali mat. rashodi</t>
  </si>
  <si>
    <t>3221</t>
  </si>
  <si>
    <t>Rashodi za materijal i energiju</t>
  </si>
  <si>
    <t>322</t>
  </si>
  <si>
    <t>Ostale naknade troškova zaposlenima</t>
  </si>
  <si>
    <t>3214</t>
  </si>
  <si>
    <t>Stručno usavršavanje zaposlenika</t>
  </si>
  <si>
    <t>3213</t>
  </si>
  <si>
    <t>Nakn. za prijev. rad na ter. odv. Živ.</t>
  </si>
  <si>
    <t>3212</t>
  </si>
  <si>
    <t>Službena putovanja</t>
  </si>
  <si>
    <t>3211</t>
  </si>
  <si>
    <t>Naknade troškova zaposlenima</t>
  </si>
  <si>
    <t>321</t>
  </si>
  <si>
    <t>Materijalni rashodi</t>
  </si>
  <si>
    <t>32</t>
  </si>
  <si>
    <t>Doprinosi za zapošljavanje</t>
  </si>
  <si>
    <t>Doprinosi za obvezno zdravstveno osiguranje</t>
  </si>
  <si>
    <t>3132</t>
  </si>
  <si>
    <t>Doprinosi na plaće</t>
  </si>
  <si>
    <t>Ostali rashodi za zaposlene</t>
  </si>
  <si>
    <t>3121</t>
  </si>
  <si>
    <t>Plaće za posebne uvjete rada</t>
  </si>
  <si>
    <t>3114</t>
  </si>
  <si>
    <t>Plaće za prekovremeni rad</t>
  </si>
  <si>
    <t>3113</t>
  </si>
  <si>
    <t>Plaće za redovan rad</t>
  </si>
  <si>
    <t>3111</t>
  </si>
  <si>
    <t>Plaće (Bruto)</t>
  </si>
  <si>
    <t>311</t>
  </si>
  <si>
    <t>Rashodi za zaposlene</t>
  </si>
  <si>
    <t>31</t>
  </si>
  <si>
    <t>Rashodi poslovanja</t>
  </si>
  <si>
    <t>3</t>
  </si>
  <si>
    <t>Naziv</t>
  </si>
  <si>
    <t>Račun iz raču. Pl.</t>
  </si>
  <si>
    <t>len</t>
  </si>
  <si>
    <t>u kunama</t>
  </si>
  <si>
    <t>Izvor prihoda i primitaka</t>
  </si>
  <si>
    <t>Oznaka                           rač.iz                                      računskog                                         plana</t>
  </si>
  <si>
    <t>63414 pomoći od HZMO, HZZ, HZZO</t>
  </si>
  <si>
    <t>64151 pozitivne tečajne razlike</t>
  </si>
  <si>
    <t>65264 dopunsko</t>
  </si>
  <si>
    <t>65267 refund.osig.</t>
  </si>
  <si>
    <t>66151 vlastiti prihodi</t>
  </si>
  <si>
    <t>66313 tekuće donacije</t>
  </si>
  <si>
    <t>67111 prih.za finan.rashoda-pgž</t>
  </si>
  <si>
    <t>67311 HZZO</t>
  </si>
  <si>
    <t>68311 ostali prihodi</t>
  </si>
  <si>
    <t>Ukupno (po izvorima)</t>
  </si>
  <si>
    <t>66323 kapitalne donacije</t>
  </si>
  <si>
    <t>Porezni i ostali prihodi - 111 (90)</t>
  </si>
  <si>
    <t>Opći prihodi i primici - DEC - 445 (30)</t>
  </si>
  <si>
    <t>Vlastiti prihodi - 321 (20)</t>
  </si>
  <si>
    <t>Prihodi za posebne namjene - 431 (10)</t>
  </si>
  <si>
    <t>Pomoći - 521 (40)</t>
  </si>
  <si>
    <t>Donacije - 621 (50)</t>
  </si>
  <si>
    <t>Prihodi od prodaje nefinancijske imovine i nadoknade šteta s osnova osiguranja - 731 (60)</t>
  </si>
  <si>
    <t>Thalassotherapia Opatija - Specijalna bolnica za medicinsku rehabilitaciju bolesti srca, pluća i reumatizma</t>
  </si>
  <si>
    <t xml:space="preserve">Nakn. trošk. osob. izvan radn. odnosa </t>
  </si>
  <si>
    <t>Bank. usluge i usluge platnog prom.</t>
  </si>
  <si>
    <t>Ostali nespomenuti financijski rashodi</t>
  </si>
  <si>
    <t>Uređaji, strojevi i oprema za ostale namjene</t>
  </si>
  <si>
    <t>Nematerijalna proizvedena imovina</t>
  </si>
  <si>
    <t>Otplata glavn. Primlj. Kred. Dugoročni</t>
  </si>
  <si>
    <t>67141 prih.iz nadl. prorač. za financ. izdataka za otplatu zajmova</t>
  </si>
  <si>
    <t>Ostali rash. za zaposl.</t>
  </si>
  <si>
    <t>Kazne, penali i nakn. štete</t>
  </si>
  <si>
    <t>Nakn šteta pravnim i fizičkim osobama</t>
  </si>
  <si>
    <t>Rashodi za dodatna ulaganja na nefinancijskoj imovini</t>
  </si>
  <si>
    <t>Dodatna ulaganja na građevinskim objektima</t>
  </si>
  <si>
    <t>RAZLIKA</t>
  </si>
  <si>
    <t>67121, prih.za nab. nefinanc. imovine</t>
  </si>
  <si>
    <t>63612 tek.pom. iz drž. pror. prorač korisn. Pror. JLP(R)S</t>
  </si>
  <si>
    <t>PRIHODI</t>
  </si>
  <si>
    <t>RASHODI</t>
  </si>
  <si>
    <t>MANJAK IZ 2021. g.</t>
  </si>
  <si>
    <t>PLAN 2022</t>
  </si>
  <si>
    <t>Ukupno prihodi i primici za 2022.</t>
  </si>
  <si>
    <t>Prenesena sredstva - opći prihodi i primici 1813 (91)</t>
  </si>
  <si>
    <t>POVEĆANJE/SMANJENJE - rebalansa u odnosu na plan</t>
  </si>
  <si>
    <t>64143 zatezne kamate</t>
  </si>
  <si>
    <t>64132 kamate po viđenju</t>
  </si>
  <si>
    <t>66311 tekuće donacije od fizičkih osoba</t>
  </si>
  <si>
    <t>FINANCIJSKI PLAN RASHODA I IZDATAKA ZA 2022. GOD.</t>
  </si>
  <si>
    <t>PROGRAM 100</t>
  </si>
  <si>
    <t>PROGRAM 300</t>
  </si>
  <si>
    <t>IZVOR 10 (4311 - HZZO)</t>
  </si>
  <si>
    <t>IZVOR 20 (3211 - VLASTITI)</t>
  </si>
  <si>
    <t>DRUGI IZVORI</t>
  </si>
  <si>
    <t>4264</t>
  </si>
  <si>
    <t>Ostala nematerij. proizved. imovina</t>
  </si>
  <si>
    <t>VIŠE / MANJE</t>
  </si>
  <si>
    <t>INDEKS (rebalans u odnosu na plan)</t>
  </si>
  <si>
    <t>1 REBALANS 2022</t>
  </si>
  <si>
    <t>1. REBALANS ZA 2022</t>
  </si>
  <si>
    <t>Ostala nematerijalna imovina</t>
  </si>
  <si>
    <t>rashodi-reb 1</t>
  </si>
  <si>
    <t>prihodi-reb 1</t>
  </si>
  <si>
    <t>manjak iz 2021</t>
  </si>
  <si>
    <t>razlika</t>
  </si>
  <si>
    <t>92211 prenesena sredstva</t>
  </si>
  <si>
    <t>Prenesena sredstva - donacije 682 (83)</t>
  </si>
  <si>
    <t>izvor 10</t>
  </si>
  <si>
    <t>izvor 20</t>
  </si>
  <si>
    <t>izvori ostali</t>
  </si>
  <si>
    <t>prihodi</t>
  </si>
  <si>
    <t>rashodi</t>
  </si>
  <si>
    <t>cijev za CT</t>
  </si>
  <si>
    <t>izvor 111</t>
  </si>
  <si>
    <t>izvor 1813</t>
  </si>
  <si>
    <t>2. REBALANS ZA 2022</t>
  </si>
  <si>
    <t>2 REBALANS 2022</t>
  </si>
  <si>
    <t>INDEKS (rebalans 2 u odnosu na rebalans 1)</t>
  </si>
  <si>
    <t>DRUGI IZVORI (40+50+60+83)</t>
  </si>
  <si>
    <t>DRUGI IZVORI DEC I PGŽ (30+90+91)</t>
  </si>
  <si>
    <t>prihodi-reb 2</t>
  </si>
  <si>
    <t>rashodi-reb 2</t>
  </si>
  <si>
    <t>PROGRAM 400</t>
  </si>
  <si>
    <t>IZVOR 50 (6211 - DONACIJE)</t>
  </si>
  <si>
    <t>19.9.2022.</t>
  </si>
  <si>
    <t>IZVOR 10+20+50 (4311 HZZO + 3211 VLASTITI + 6211 DONACIJE)</t>
  </si>
  <si>
    <t>specijalizacije dr.med</t>
  </si>
  <si>
    <t>projektna dokumentacija 4511</t>
  </si>
  <si>
    <t>cijev MSCT</t>
  </si>
  <si>
    <t>3. REBALANS ZA 2022</t>
  </si>
  <si>
    <t>3 REBALANS 2022</t>
  </si>
  <si>
    <t>4. REBALANS ZA 2022</t>
  </si>
  <si>
    <t>4 REBALANS 2022</t>
  </si>
  <si>
    <t>INDEKS (rebalans 4 u odnosu na rebalans 3)</t>
  </si>
  <si>
    <t>4. REBALANS</t>
  </si>
  <si>
    <t>4. IZMJENE I DOPUNE FINANCIJSKOG PLANA PRIHODA I PRIMITAKA 2022.</t>
  </si>
  <si>
    <t>PLAN 2022 - REBALANS 3.</t>
  </si>
  <si>
    <t>ZBIRNO 4 IZMJENA I DOPUNA PLANA PRIHODA I PRIMITAKA 2022 - REBALANS 4</t>
  </si>
  <si>
    <t>PROGRAM 201</t>
  </si>
  <si>
    <t>4. IZMJENE I DOPUNE FINANCIJSKOG PLANA RASHODA I IZDATAKA ZA 2022. godinu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</si>
</sst>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0\ _k_n_-;\-* #,##0.00\ _k_n_-;_-* &quot;-&quot;??\ _k_n_-;_-@_-"/>
    <numFmt numFmtId="165" formatCode="_-* #,##0_-;\-* #,##0_-;_-* &quot;-&quot;??_-;_-@_-"/>
  </numFmts>
  <fonts count="5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</font>
    <font>
      <sz val="8"/>
      <color rgb="FF000000"/>
      <name val="Arial"/>
      <family val="2"/>
      <charset val="238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</font>
    <font>
      <b/>
      <sz val="12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rgb="FF000000"/>
      <name val="Arial"/>
      <family val="2"/>
    </font>
    <font>
      <b/>
      <sz val="12"/>
      <color indexed="8"/>
      <name val="Arial"/>
      <family val="2"/>
      <charset val="238"/>
    </font>
    <font>
      <b/>
      <sz val="9"/>
      <color theme="1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9"/>
      <color theme="1"/>
      <name val="Arial"/>
      <family val="2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18"/>
      <color theme="1"/>
      <name val="Arial"/>
      <family val="2"/>
    </font>
    <font>
      <sz val="11"/>
      <color theme="1"/>
      <name val="Arial"/>
      <family val="2"/>
      <charset val="238"/>
    </font>
    <font>
      <b/>
      <sz val="16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</font>
    <font>
      <b/>
      <sz val="12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00FF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5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3" borderId="0" applyNumberFormat="0" applyBorder="0" applyAlignment="0" applyProtection="0"/>
    <xf numFmtId="0" fontId="17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5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8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20" fillId="23" borderId="12" applyNumberFormat="0" applyAlignment="0" applyProtection="0"/>
    <xf numFmtId="0" fontId="21" fillId="24" borderId="13" applyNumberFormat="0" applyAlignment="0" applyProtection="0"/>
    <xf numFmtId="0" fontId="22" fillId="0" borderId="0" applyNumberFormat="0" applyFill="0" applyBorder="0" applyAlignment="0" applyProtection="0"/>
    <xf numFmtId="0" fontId="23" fillId="13" borderId="0" applyNumberFormat="0" applyBorder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7" fillId="14" borderId="12" applyNumberFormat="0" applyAlignment="0" applyProtection="0"/>
    <xf numFmtId="0" fontId="28" fillId="0" borderId="17" applyNumberFormat="0" applyFill="0" applyAlignment="0" applyProtection="0"/>
    <xf numFmtId="0" fontId="29" fillId="14" borderId="0" applyNumberFormat="0" applyBorder="0" applyAlignment="0" applyProtection="0"/>
    <xf numFmtId="0" fontId="30" fillId="0" borderId="0"/>
    <xf numFmtId="0" fontId="30" fillId="11" borderId="18" applyNumberFormat="0" applyFont="0" applyAlignment="0" applyProtection="0"/>
    <xf numFmtId="0" fontId="31" fillId="0" borderId="0"/>
    <xf numFmtId="0" fontId="31" fillId="0" borderId="0"/>
    <xf numFmtId="0" fontId="30" fillId="0" borderId="0"/>
    <xf numFmtId="0" fontId="30" fillId="0" borderId="0"/>
    <xf numFmtId="0" fontId="32" fillId="23" borderId="19" applyNumberFormat="0" applyAlignment="0" applyProtection="0"/>
    <xf numFmtId="0" fontId="33" fillId="0" borderId="0" applyNumberFormat="0" applyFill="0" applyBorder="0" applyAlignment="0" applyProtection="0"/>
    <xf numFmtId="0" fontId="34" fillId="0" borderId="20" applyNumberFormat="0" applyFill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7">
    <xf numFmtId="0" fontId="0" fillId="0" borderId="0" xfId="0"/>
    <xf numFmtId="0" fontId="2" fillId="0" borderId="0" xfId="1" applyFont="1" applyAlignment="1">
      <alignment horizontal="left" indent="1"/>
    </xf>
    <xf numFmtId="4" fontId="2" fillId="0" borderId="0" xfId="1" applyNumberFormat="1" applyFont="1" applyAlignment="1"/>
    <xf numFmtId="4" fontId="2" fillId="0" borderId="0" xfId="2" applyNumberFormat="1" applyFont="1" applyAlignment="1"/>
    <xf numFmtId="0" fontId="2" fillId="0" borderId="0" xfId="1" applyFont="1" applyAlignment="1"/>
    <xf numFmtId="0" fontId="36" fillId="0" borderId="0" xfId="42" applyNumberFormat="1" applyFont="1" applyFill="1" applyBorder="1" applyAlignment="1" applyProtection="1"/>
    <xf numFmtId="1" fontId="37" fillId="0" borderId="0" xfId="42" applyNumberFormat="1" applyFont="1" applyAlignment="1">
      <alignment wrapText="1"/>
    </xf>
    <xf numFmtId="0" fontId="37" fillId="0" borderId="0" xfId="42" applyFont="1"/>
    <xf numFmtId="0" fontId="37" fillId="0" borderId="0" xfId="42" applyFont="1" applyAlignment="1">
      <alignment horizontal="right"/>
    </xf>
    <xf numFmtId="0" fontId="38" fillId="0" borderId="24" xfId="42" applyFont="1" applyBorder="1" applyAlignment="1">
      <alignment vertical="center" wrapText="1"/>
    </xf>
    <xf numFmtId="0" fontId="38" fillId="0" borderId="21" xfId="42" applyFont="1" applyBorder="1" applyAlignment="1">
      <alignment vertical="center" wrapText="1"/>
    </xf>
    <xf numFmtId="1" fontId="38" fillId="0" borderId="1" xfId="42" applyNumberFormat="1" applyFont="1" applyBorder="1" applyAlignment="1">
      <alignment wrapText="1"/>
    </xf>
    <xf numFmtId="1" fontId="38" fillId="0" borderId="4" xfId="42" applyNumberFormat="1" applyFont="1" applyBorder="1" applyAlignment="1">
      <alignment wrapText="1"/>
    </xf>
    <xf numFmtId="0" fontId="36" fillId="0" borderId="0" xfId="42" applyNumberFormat="1" applyFont="1" applyFill="1" applyBorder="1" applyAlignment="1" applyProtection="1">
      <alignment vertical="center" wrapText="1"/>
    </xf>
    <xf numFmtId="0" fontId="36" fillId="0" borderId="0" xfId="42" applyNumberFormat="1" applyFont="1" applyFill="1" applyBorder="1" applyAlignment="1" applyProtection="1">
      <alignment vertical="center"/>
    </xf>
    <xf numFmtId="0" fontId="36" fillId="0" borderId="0" xfId="42" applyNumberFormat="1" applyFont="1" applyFill="1" applyBorder="1" applyAlignment="1" applyProtection="1">
      <alignment horizontal="center" vertical="center"/>
    </xf>
    <xf numFmtId="4" fontId="43" fillId="0" borderId="0" xfId="0" applyNumberFormat="1" applyFont="1"/>
    <xf numFmtId="0" fontId="10" fillId="6" borderId="36" xfId="1" applyFont="1" applyFill="1" applyBorder="1" applyAlignment="1">
      <alignment horizontal="left" wrapText="1" indent="4"/>
    </xf>
    <xf numFmtId="0" fontId="7" fillId="5" borderId="36" xfId="1" applyFont="1" applyFill="1" applyBorder="1" applyAlignment="1">
      <alignment wrapText="1"/>
    </xf>
    <xf numFmtId="0" fontId="4" fillId="4" borderId="36" xfId="1" applyFont="1" applyFill="1" applyBorder="1" applyAlignment="1">
      <alignment horizontal="center" wrapText="1"/>
    </xf>
    <xf numFmtId="0" fontId="7" fillId="5" borderId="36" xfId="1" applyFont="1" applyFill="1" applyBorder="1" applyAlignment="1">
      <alignment horizontal="left" wrapText="1"/>
    </xf>
    <xf numFmtId="0" fontId="10" fillId="6" borderId="37" xfId="1" applyFont="1" applyFill="1" applyBorder="1" applyAlignment="1"/>
    <xf numFmtId="0" fontId="7" fillId="5" borderId="35" xfId="1" applyFont="1" applyFill="1" applyBorder="1" applyAlignment="1">
      <alignment horizontal="left" wrapText="1"/>
    </xf>
    <xf numFmtId="0" fontId="14" fillId="8" borderId="36" xfId="1" applyFont="1" applyFill="1" applyBorder="1" applyAlignment="1">
      <alignment horizontal="center" wrapText="1"/>
    </xf>
    <xf numFmtId="0" fontId="4" fillId="4" borderId="38" xfId="1" applyFont="1" applyFill="1" applyBorder="1" applyAlignment="1">
      <alignment horizontal="center" wrapText="1"/>
    </xf>
    <xf numFmtId="0" fontId="4" fillId="4" borderId="8" xfId="1" applyFont="1" applyFill="1" applyBorder="1" applyAlignment="1">
      <alignment horizontal="center" wrapText="1"/>
    </xf>
    <xf numFmtId="4" fontId="11" fillId="6" borderId="39" xfId="1" applyNumberFormat="1" applyFont="1" applyFill="1" applyBorder="1" applyAlignment="1">
      <alignment horizontal="right" wrapText="1"/>
    </xf>
    <xf numFmtId="0" fontId="7" fillId="5" borderId="39" xfId="1" applyFont="1" applyFill="1" applyBorder="1" applyAlignment="1">
      <alignment wrapText="1"/>
    </xf>
    <xf numFmtId="0" fontId="4" fillId="4" borderId="39" xfId="1" applyFont="1" applyFill="1" applyBorder="1" applyAlignment="1">
      <alignment horizontal="center" wrapText="1"/>
    </xf>
    <xf numFmtId="0" fontId="4" fillId="4" borderId="5" xfId="1" applyFont="1" applyFill="1" applyBorder="1" applyAlignment="1">
      <alignment horizontal="center" wrapText="1"/>
    </xf>
    <xf numFmtId="0" fontId="3" fillId="2" borderId="1" xfId="1" applyFont="1" applyFill="1" applyBorder="1" applyAlignment="1"/>
    <xf numFmtId="4" fontId="2" fillId="0" borderId="0" xfId="2" applyNumberFormat="1" applyFont="1" applyFill="1" applyAlignment="1"/>
    <xf numFmtId="0" fontId="2" fillId="0" borderId="0" xfId="1" applyFont="1" applyBorder="1" applyAlignment="1">
      <alignment horizontal="left" indent="1"/>
    </xf>
    <xf numFmtId="1" fontId="38" fillId="25" borderId="23" xfId="42" applyNumberFormat="1" applyFont="1" applyFill="1" applyBorder="1" applyAlignment="1">
      <alignment horizontal="right" vertical="top" wrapText="1"/>
    </xf>
    <xf numFmtId="1" fontId="38" fillId="25" borderId="34" xfId="42" applyNumberFormat="1" applyFont="1" applyFill="1" applyBorder="1" applyAlignment="1">
      <alignment horizontal="left" wrapText="1"/>
    </xf>
    <xf numFmtId="0" fontId="38" fillId="0" borderId="30" xfId="42" applyFont="1" applyBorder="1" applyAlignment="1">
      <alignment vertical="center" wrapText="1"/>
    </xf>
    <xf numFmtId="0" fontId="39" fillId="26" borderId="1" xfId="42" applyFont="1" applyFill="1" applyBorder="1" applyAlignment="1">
      <alignment horizontal="center" vertical="center" wrapText="1"/>
    </xf>
    <xf numFmtId="0" fontId="10" fillId="6" borderId="37" xfId="1" applyFont="1" applyFill="1" applyBorder="1" applyAlignment="1">
      <alignment horizontal="left"/>
    </xf>
    <xf numFmtId="0" fontId="10" fillId="5" borderId="43" xfId="1" applyFont="1" applyFill="1" applyBorder="1" applyAlignment="1">
      <alignment wrapText="1"/>
    </xf>
    <xf numFmtId="4" fontId="11" fillId="6" borderId="45" xfId="1" applyNumberFormat="1" applyFont="1" applyFill="1" applyBorder="1" applyAlignment="1">
      <alignment horizontal="right" wrapText="1"/>
    </xf>
    <xf numFmtId="0" fontId="7" fillId="5" borderId="45" xfId="1" applyFont="1" applyFill="1" applyBorder="1" applyAlignment="1">
      <alignment wrapText="1"/>
    </xf>
    <xf numFmtId="0" fontId="4" fillId="4" borderId="46" xfId="1" applyFont="1" applyFill="1" applyBorder="1" applyAlignment="1">
      <alignment wrapText="1"/>
    </xf>
    <xf numFmtId="0" fontId="4" fillId="4" borderId="44" xfId="1" applyFont="1" applyFill="1" applyBorder="1" applyAlignment="1">
      <alignment wrapText="1"/>
    </xf>
    <xf numFmtId="0" fontId="10" fillId="6" borderId="45" xfId="1" applyFont="1" applyFill="1" applyBorder="1" applyAlignment="1">
      <alignment wrapText="1"/>
    </xf>
    <xf numFmtId="0" fontId="4" fillId="4" borderId="45" xfId="1" applyFont="1" applyFill="1" applyBorder="1" applyAlignment="1">
      <alignment wrapText="1"/>
    </xf>
    <xf numFmtId="0" fontId="11" fillId="6" borderId="33" xfId="1" applyFont="1" applyFill="1" applyBorder="1" applyAlignment="1">
      <alignment wrapText="1"/>
    </xf>
    <xf numFmtId="0" fontId="11" fillId="5" borderId="33" xfId="1" applyFont="1" applyFill="1" applyBorder="1" applyAlignment="1">
      <alignment wrapText="1"/>
    </xf>
    <xf numFmtId="0" fontId="11" fillId="5" borderId="6" xfId="1" applyFont="1" applyFill="1" applyBorder="1" applyAlignment="1">
      <alignment horizontal="left" wrapText="1"/>
    </xf>
    <xf numFmtId="3" fontId="11" fillId="6" borderId="45" xfId="1" applyNumberFormat="1" applyFont="1" applyFill="1" applyBorder="1" applyAlignment="1">
      <alignment horizontal="right" wrapText="1"/>
    </xf>
    <xf numFmtId="0" fontId="7" fillId="5" borderId="45" xfId="1" applyFont="1" applyFill="1" applyBorder="1" applyAlignment="1">
      <alignment horizontal="left" wrapText="1"/>
    </xf>
    <xf numFmtId="0" fontId="11" fillId="6" borderId="6" xfId="1" applyFont="1" applyFill="1" applyBorder="1" applyAlignment="1">
      <alignment horizontal="right" wrapText="1"/>
    </xf>
    <xf numFmtId="0" fontId="4" fillId="4" borderId="35" xfId="1" applyFont="1" applyFill="1" applyBorder="1" applyAlignment="1">
      <alignment horizontal="center" wrapText="1"/>
    </xf>
    <xf numFmtId="43" fontId="2" fillId="0" borderId="0" xfId="51" applyFont="1" applyAlignment="1">
      <alignment horizontal="left" indent="1"/>
    </xf>
    <xf numFmtId="0" fontId="15" fillId="0" borderId="0" xfId="42" applyNumberFormat="1" applyFont="1" applyFill="1" applyBorder="1" applyAlignment="1" applyProtection="1">
      <alignment vertical="center" wrapText="1"/>
    </xf>
    <xf numFmtId="0" fontId="37" fillId="0" borderId="0" xfId="42" applyFont="1" applyBorder="1" applyAlignment="1">
      <alignment horizontal="right"/>
    </xf>
    <xf numFmtId="0" fontId="38" fillId="0" borderId="0" xfId="42" applyFont="1" applyFill="1" applyBorder="1" applyAlignment="1">
      <alignment vertical="center"/>
    </xf>
    <xf numFmtId="0" fontId="7" fillId="5" borderId="37" xfId="1" applyFont="1" applyFill="1" applyBorder="1" applyAlignment="1">
      <alignment horizontal="left" wrapText="1"/>
    </xf>
    <xf numFmtId="1" fontId="40" fillId="25" borderId="32" xfId="42" applyNumberFormat="1" applyFont="1" applyFill="1" applyBorder="1" applyAlignment="1">
      <alignment horizontal="left" wrapText="1"/>
    </xf>
    <xf numFmtId="1" fontId="40" fillId="25" borderId="9" xfId="42" applyNumberFormat="1" applyFont="1" applyFill="1" applyBorder="1" applyAlignment="1">
      <alignment horizontal="left" wrapText="1"/>
    </xf>
    <xf numFmtId="1" fontId="37" fillId="0" borderId="6" xfId="42" applyNumberFormat="1" applyFont="1" applyBorder="1" applyAlignment="1">
      <alignment horizontal="left" wrapText="1"/>
    </xf>
    <xf numFmtId="4" fontId="2" fillId="0" borderId="0" xfId="1" applyNumberFormat="1" applyFont="1" applyAlignment="1">
      <alignment horizontal="left" indent="1"/>
    </xf>
    <xf numFmtId="4" fontId="36" fillId="0" borderId="3" xfId="42" applyNumberFormat="1" applyFont="1" applyFill="1" applyBorder="1" applyAlignment="1" applyProtection="1"/>
    <xf numFmtId="4" fontId="36" fillId="0" borderId="26" xfId="42" applyNumberFormat="1" applyFont="1" applyFill="1" applyBorder="1" applyAlignment="1" applyProtection="1"/>
    <xf numFmtId="4" fontId="36" fillId="0" borderId="48" xfId="42" applyNumberFormat="1" applyFont="1" applyFill="1" applyBorder="1" applyAlignment="1" applyProtection="1"/>
    <xf numFmtId="4" fontId="6" fillId="0" borderId="0" xfId="42" applyNumberFormat="1" applyFont="1" applyFill="1" applyBorder="1" applyAlignment="1" applyProtection="1"/>
    <xf numFmtId="0" fontId="2" fillId="0" borderId="3" xfId="1" applyFont="1" applyBorder="1" applyAlignment="1">
      <alignment horizontal="left" wrapText="1" indent="1"/>
    </xf>
    <xf numFmtId="0" fontId="6" fillId="6" borderId="4" xfId="42" applyNumberFormat="1" applyFont="1" applyFill="1" applyBorder="1" applyAlignment="1" applyProtection="1">
      <alignment vertical="center"/>
    </xf>
    <xf numFmtId="1" fontId="38" fillId="25" borderId="2" xfId="42" applyNumberFormat="1" applyFont="1" applyFill="1" applyBorder="1" applyAlignment="1">
      <alignment horizontal="left" vertical="center" wrapText="1"/>
    </xf>
    <xf numFmtId="1" fontId="38" fillId="25" borderId="24" xfId="42" applyNumberFormat="1" applyFont="1" applyFill="1" applyBorder="1" applyAlignment="1">
      <alignment horizontal="left" vertical="center" wrapText="1"/>
    </xf>
    <xf numFmtId="4" fontId="40" fillId="25" borderId="9" xfId="42" applyNumberFormat="1" applyFont="1" applyFill="1" applyBorder="1" applyAlignment="1">
      <alignment horizontal="right" wrapText="1"/>
    </xf>
    <xf numFmtId="4" fontId="40" fillId="25" borderId="27" xfId="2" applyNumberFormat="1" applyFont="1" applyFill="1" applyBorder="1" applyAlignment="1">
      <alignment wrapText="1"/>
    </xf>
    <xf numFmtId="4" fontId="38" fillId="0" borderId="25" xfId="2" applyNumberFormat="1" applyFont="1" applyFill="1" applyBorder="1" applyAlignment="1">
      <alignment wrapText="1"/>
    </xf>
    <xf numFmtId="4" fontId="38" fillId="0" borderId="26" xfId="2" applyNumberFormat="1" applyFont="1" applyFill="1" applyBorder="1" applyAlignment="1">
      <alignment wrapText="1"/>
    </xf>
    <xf numFmtId="4" fontId="37" fillId="0" borderId="26" xfId="2" applyNumberFormat="1" applyFont="1" applyFill="1" applyBorder="1" applyAlignment="1">
      <alignment wrapText="1"/>
    </xf>
    <xf numFmtId="4" fontId="38" fillId="0" borderId="40" xfId="2" applyNumberFormat="1" applyFont="1" applyFill="1" applyBorder="1" applyAlignment="1">
      <alignment wrapText="1"/>
    </xf>
    <xf numFmtId="4" fontId="40" fillId="26" borderId="9" xfId="2" applyNumberFormat="1" applyFont="1" applyFill="1" applyBorder="1" applyAlignment="1">
      <alignment wrapText="1"/>
    </xf>
    <xf numFmtId="4" fontId="38" fillId="0" borderId="27" xfId="2" applyNumberFormat="1" applyFont="1" applyFill="1" applyBorder="1" applyAlignment="1">
      <alignment wrapText="1"/>
    </xf>
    <xf numFmtId="4" fontId="38" fillId="0" borderId="11" xfId="2" applyNumberFormat="1" applyFont="1" applyFill="1" applyBorder="1" applyAlignment="1">
      <alignment wrapText="1"/>
    </xf>
    <xf numFmtId="4" fontId="37" fillId="0" borderId="11" xfId="2" applyNumberFormat="1" applyFont="1" applyFill="1" applyBorder="1" applyAlignment="1">
      <alignment wrapText="1"/>
    </xf>
    <xf numFmtId="4" fontId="38" fillId="0" borderId="10" xfId="2" applyNumberFormat="1" applyFont="1" applyFill="1" applyBorder="1" applyAlignment="1">
      <alignment wrapText="1"/>
    </xf>
    <xf numFmtId="4" fontId="37" fillId="0" borderId="6" xfId="42" applyNumberFormat="1" applyFont="1" applyBorder="1" applyAlignment="1">
      <alignment horizontal="right" wrapText="1"/>
    </xf>
    <xf numFmtId="4" fontId="37" fillId="0" borderId="28" xfId="2" applyNumberFormat="1" applyFont="1" applyBorder="1" applyAlignment="1">
      <alignment wrapText="1"/>
    </xf>
    <xf numFmtId="4" fontId="37" fillId="0" borderId="27" xfId="2" applyNumberFormat="1" applyFont="1" applyBorder="1" applyAlignment="1">
      <alignment wrapText="1"/>
    </xf>
    <xf numFmtId="4" fontId="37" fillId="0" borderId="27" xfId="2" applyNumberFormat="1" applyFont="1" applyFill="1" applyBorder="1" applyAlignment="1">
      <alignment wrapText="1"/>
    </xf>
    <xf numFmtId="4" fontId="37" fillId="0" borderId="11" xfId="2" applyNumberFormat="1" applyFont="1" applyFill="1" applyBorder="1" applyAlignment="1"/>
    <xf numFmtId="4" fontId="37" fillId="0" borderId="10" xfId="2" applyNumberFormat="1" applyFont="1" applyFill="1" applyBorder="1" applyAlignment="1">
      <alignment wrapText="1"/>
    </xf>
    <xf numFmtId="4" fontId="40" fillId="26" borderId="6" xfId="2" applyNumberFormat="1" applyFont="1" applyFill="1" applyBorder="1" applyAlignment="1">
      <alignment wrapText="1"/>
    </xf>
    <xf numFmtId="4" fontId="37" fillId="0" borderId="28" xfId="2" applyNumberFormat="1" applyFont="1" applyFill="1" applyBorder="1" applyAlignment="1"/>
    <xf numFmtId="4" fontId="37" fillId="0" borderId="3" xfId="2" applyNumberFormat="1" applyFont="1" applyFill="1" applyBorder="1" applyAlignment="1"/>
    <xf numFmtId="4" fontId="37" fillId="0" borderId="7" xfId="2" applyNumberFormat="1" applyFont="1" applyFill="1" applyBorder="1" applyAlignment="1"/>
    <xf numFmtId="4" fontId="37" fillId="0" borderId="28" xfId="2" applyNumberFormat="1" applyFont="1" applyFill="1" applyBorder="1" applyAlignment="1">
      <alignment wrapText="1"/>
    </xf>
    <xf numFmtId="4" fontId="40" fillId="0" borderId="2" xfId="2" applyNumberFormat="1" applyFont="1" applyBorder="1" applyAlignment="1">
      <alignment wrapText="1"/>
    </xf>
    <xf numFmtId="4" fontId="40" fillId="0" borderId="1" xfId="2" applyNumberFormat="1" applyFont="1" applyBorder="1" applyAlignment="1">
      <alignment wrapText="1"/>
    </xf>
    <xf numFmtId="4" fontId="38" fillId="0" borderId="1" xfId="42" applyNumberFormat="1" applyFont="1" applyBorder="1" applyAlignment="1">
      <alignment horizontal="center" wrapText="1"/>
    </xf>
    <xf numFmtId="4" fontId="38" fillId="0" borderId="0" xfId="2" applyNumberFormat="1" applyFont="1" applyBorder="1" applyAlignment="1"/>
    <xf numFmtId="4" fontId="37" fillId="0" borderId="0" xfId="2" applyNumberFormat="1" applyFont="1" applyAlignment="1"/>
    <xf numFmtId="4" fontId="36" fillId="0" borderId="0" xfId="42" applyNumberFormat="1" applyFont="1" applyFill="1" applyBorder="1" applyAlignment="1" applyProtection="1">
      <alignment vertical="center" wrapText="1"/>
    </xf>
    <xf numFmtId="4" fontId="36" fillId="0" borderId="0" xfId="42" applyNumberFormat="1" applyFont="1" applyFill="1" applyBorder="1" applyAlignment="1" applyProtection="1">
      <alignment wrapText="1"/>
    </xf>
    <xf numFmtId="4" fontId="36" fillId="0" borderId="0" xfId="2" applyNumberFormat="1" applyFont="1" applyFill="1" applyBorder="1" applyAlignment="1" applyProtection="1">
      <alignment wrapText="1"/>
    </xf>
    <xf numFmtId="4" fontId="36" fillId="0" borderId="0" xfId="2" applyNumberFormat="1" applyFont="1" applyFill="1" applyBorder="1" applyAlignment="1" applyProtection="1"/>
    <xf numFmtId="4" fontId="36" fillId="0" borderId="0" xfId="51" applyNumberFormat="1" applyFont="1" applyFill="1" applyBorder="1" applyAlignment="1" applyProtection="1"/>
    <xf numFmtId="4" fontId="36" fillId="0" borderId="0" xfId="42" applyNumberFormat="1" applyFont="1" applyFill="1" applyBorder="1" applyAlignment="1" applyProtection="1"/>
    <xf numFmtId="4" fontId="41" fillId="0" borderId="0" xfId="42" applyNumberFormat="1" applyFont="1" applyFill="1" applyBorder="1" applyAlignment="1" applyProtection="1"/>
    <xf numFmtId="4" fontId="6" fillId="0" borderId="41" xfId="42" applyNumberFormat="1" applyFont="1" applyFill="1" applyBorder="1" applyAlignment="1" applyProtection="1"/>
    <xf numFmtId="4" fontId="36" fillId="0" borderId="0" xfId="42" applyNumberFormat="1" applyFont="1" applyFill="1" applyBorder="1" applyAlignment="1" applyProtection="1">
      <alignment vertical="center"/>
    </xf>
    <xf numFmtId="4" fontId="42" fillId="0" borderId="0" xfId="42" applyNumberFormat="1" applyFont="1" applyFill="1" applyBorder="1" applyAlignment="1" applyProtection="1"/>
    <xf numFmtId="4" fontId="6" fillId="0" borderId="8" xfId="42" applyNumberFormat="1" applyFont="1" applyFill="1" applyBorder="1" applyAlignment="1" applyProtection="1"/>
    <xf numFmtId="4" fontId="6" fillId="6" borderId="22" xfId="42" applyNumberFormat="1" applyFont="1" applyFill="1" applyBorder="1" applyAlignment="1" applyProtection="1">
      <alignment vertical="center"/>
    </xf>
    <xf numFmtId="4" fontId="6" fillId="6" borderId="2" xfId="51" applyNumberFormat="1" applyFont="1" applyFill="1" applyBorder="1" applyAlignment="1" applyProtection="1"/>
    <xf numFmtId="4" fontId="6" fillId="0" borderId="0" xfId="51" applyNumberFormat="1" applyFont="1" applyFill="1" applyBorder="1" applyAlignment="1" applyProtection="1"/>
    <xf numFmtId="4" fontId="6" fillId="0" borderId="42" xfId="42" applyNumberFormat="1" applyFont="1" applyFill="1" applyBorder="1" applyAlignment="1" applyProtection="1"/>
    <xf numFmtId="0" fontId="50" fillId="0" borderId="1" xfId="1" applyFont="1" applyBorder="1" applyAlignment="1">
      <alignment horizontal="center" wrapText="1"/>
    </xf>
    <xf numFmtId="0" fontId="50" fillId="0" borderId="22" xfId="1" applyFont="1" applyBorder="1" applyAlignment="1">
      <alignment horizontal="left" wrapText="1" indent="1"/>
    </xf>
    <xf numFmtId="0" fontId="50" fillId="0" borderId="1" xfId="1" applyFont="1" applyBorder="1" applyAlignment="1">
      <alignment horizontal="left" wrapText="1" indent="1"/>
    </xf>
    <xf numFmtId="0" fontId="50" fillId="0" borderId="4" xfId="1" applyFont="1" applyBorder="1" applyAlignment="1">
      <alignment horizontal="center" wrapText="1"/>
    </xf>
    <xf numFmtId="0" fontId="10" fillId="6" borderId="63" xfId="1" applyFont="1" applyFill="1" applyBorder="1" applyAlignment="1">
      <alignment wrapText="1"/>
    </xf>
    <xf numFmtId="4" fontId="15" fillId="6" borderId="33" xfId="2" applyNumberFormat="1" applyFont="1" applyFill="1" applyBorder="1" applyAlignment="1">
      <alignment wrapText="1"/>
    </xf>
    <xf numFmtId="165" fontId="2" fillId="0" borderId="6" xfId="51" applyNumberFormat="1" applyFont="1" applyBorder="1" applyAlignment="1">
      <alignment horizontal="left" indent="1"/>
    </xf>
    <xf numFmtId="165" fontId="2" fillId="0" borderId="29" xfId="51" applyNumberFormat="1" applyFont="1" applyBorder="1" applyAlignment="1">
      <alignment horizontal="left" indent="1"/>
    </xf>
    <xf numFmtId="165" fontId="2" fillId="0" borderId="33" xfId="51" applyNumberFormat="1" applyFont="1" applyBorder="1" applyAlignment="1">
      <alignment horizontal="left" indent="1"/>
    </xf>
    <xf numFmtId="0" fontId="7" fillId="5" borderId="63" xfId="1" applyFont="1" applyFill="1" applyBorder="1" applyAlignment="1">
      <alignment wrapText="1"/>
    </xf>
    <xf numFmtId="4" fontId="13" fillId="5" borderId="33" xfId="2" applyNumberFormat="1" applyFont="1" applyFill="1" applyBorder="1" applyAlignment="1">
      <alignment wrapText="1"/>
    </xf>
    <xf numFmtId="0" fontId="4" fillId="4" borderId="63" xfId="1" applyFont="1" applyFill="1" applyBorder="1" applyAlignment="1">
      <alignment wrapText="1"/>
    </xf>
    <xf numFmtId="3" fontId="45" fillId="0" borderId="47" xfId="1" applyNumberFormat="1" applyFont="1" applyFill="1" applyBorder="1" applyAlignment="1">
      <alignment horizontal="right" wrapText="1"/>
    </xf>
    <xf numFmtId="165" fontId="2" fillId="0" borderId="0" xfId="1" applyNumberFormat="1" applyFont="1" applyAlignment="1">
      <alignment horizontal="left" indent="1"/>
    </xf>
    <xf numFmtId="0" fontId="7" fillId="5" borderId="64" xfId="1" applyFont="1" applyFill="1" applyBorder="1" applyAlignment="1">
      <alignment wrapText="1"/>
    </xf>
    <xf numFmtId="0" fontId="4" fillId="4" borderId="62" xfId="1" applyFont="1" applyFill="1" applyBorder="1" applyAlignment="1">
      <alignment wrapText="1"/>
    </xf>
    <xf numFmtId="165" fontId="2" fillId="28" borderId="29" xfId="51" applyNumberFormat="1" applyFont="1" applyFill="1" applyBorder="1" applyAlignment="1">
      <alignment horizontal="left" indent="1"/>
    </xf>
    <xf numFmtId="4" fontId="10" fillId="5" borderId="33" xfId="2" applyNumberFormat="1" applyFont="1" applyFill="1" applyBorder="1" applyAlignment="1">
      <alignment wrapText="1"/>
    </xf>
    <xf numFmtId="165" fontId="2" fillId="28" borderId="6" xfId="51" applyNumberFormat="1" applyFont="1" applyFill="1" applyBorder="1" applyAlignment="1">
      <alignment horizontal="left" indent="1"/>
    </xf>
    <xf numFmtId="3" fontId="45" fillId="0" borderId="65" xfId="1" applyNumberFormat="1" applyFont="1" applyFill="1" applyBorder="1" applyAlignment="1">
      <alignment horizontal="right" wrapText="1"/>
    </xf>
    <xf numFmtId="0" fontId="10" fillId="6" borderId="64" xfId="1" applyFont="1" applyFill="1" applyBorder="1" applyAlignment="1">
      <alignment wrapText="1"/>
    </xf>
    <xf numFmtId="4" fontId="15" fillId="6" borderId="66" xfId="2" applyNumberFormat="1" applyFont="1" applyFill="1" applyBorder="1" applyAlignment="1">
      <alignment wrapText="1"/>
    </xf>
    <xf numFmtId="0" fontId="10" fillId="5" borderId="62" xfId="1" applyFont="1" applyFill="1" applyBorder="1" applyAlignment="1">
      <alignment wrapText="1"/>
    </xf>
    <xf numFmtId="4" fontId="13" fillId="5" borderId="47" xfId="2" applyNumberFormat="1" applyFont="1" applyFill="1" applyBorder="1" applyAlignment="1">
      <alignment wrapText="1"/>
    </xf>
    <xf numFmtId="3" fontId="47" fillId="0" borderId="47" xfId="1" applyNumberFormat="1" applyFont="1" applyFill="1" applyBorder="1" applyAlignment="1">
      <alignment horizontal="right" wrapText="1"/>
    </xf>
    <xf numFmtId="0" fontId="4" fillId="4" borderId="67" xfId="1" applyFont="1" applyFill="1" applyBorder="1" applyAlignment="1">
      <alignment wrapText="1"/>
    </xf>
    <xf numFmtId="0" fontId="4" fillId="4" borderId="68" xfId="1" applyFont="1" applyFill="1" applyBorder="1" applyAlignment="1">
      <alignment wrapText="1"/>
    </xf>
    <xf numFmtId="3" fontId="45" fillId="0" borderId="34" xfId="1" applyNumberFormat="1" applyFont="1" applyFill="1" applyBorder="1" applyAlignment="1">
      <alignment horizontal="right" wrapText="1"/>
    </xf>
    <xf numFmtId="0" fontId="10" fillId="6" borderId="3" xfId="1" applyFont="1" applyFill="1" applyBorder="1" applyAlignment="1">
      <alignment wrapText="1"/>
    </xf>
    <xf numFmtId="4" fontId="9" fillId="6" borderId="33" xfId="2" applyNumberFormat="1" applyFont="1" applyFill="1" applyBorder="1" applyAlignment="1">
      <alignment wrapText="1"/>
    </xf>
    <xf numFmtId="0" fontId="7" fillId="5" borderId="3" xfId="1" applyFont="1" applyFill="1" applyBorder="1" applyAlignment="1">
      <alignment wrapText="1"/>
    </xf>
    <xf numFmtId="4" fontId="8" fillId="5" borderId="33" xfId="2" applyNumberFormat="1" applyFont="1" applyFill="1" applyBorder="1" applyAlignment="1">
      <alignment wrapText="1"/>
    </xf>
    <xf numFmtId="3" fontId="45" fillId="0" borderId="33" xfId="1" applyNumberFormat="1" applyFont="1" applyFill="1" applyBorder="1" applyAlignment="1">
      <alignment horizontal="right" wrapText="1"/>
    </xf>
    <xf numFmtId="4" fontId="6" fillId="5" borderId="33" xfId="2" applyNumberFormat="1" applyFont="1" applyFill="1" applyBorder="1" applyAlignment="1">
      <alignment wrapText="1"/>
    </xf>
    <xf numFmtId="4" fontId="5" fillId="6" borderId="33" xfId="2" applyNumberFormat="1" applyFont="1" applyFill="1" applyBorder="1" applyAlignment="1">
      <alignment wrapText="1"/>
    </xf>
    <xf numFmtId="4" fontId="46" fillId="5" borderId="33" xfId="2" applyNumberFormat="1" applyFont="1" applyFill="1" applyBorder="1" applyAlignment="1">
      <alignment wrapText="1"/>
    </xf>
    <xf numFmtId="0" fontId="4" fillId="4" borderId="31" xfId="1" applyFont="1" applyFill="1" applyBorder="1" applyAlignment="1">
      <alignment wrapText="1"/>
    </xf>
    <xf numFmtId="165" fontId="2" fillId="0" borderId="5" xfId="51" applyNumberFormat="1" applyFont="1" applyBorder="1" applyAlignment="1">
      <alignment horizontal="left" indent="1"/>
    </xf>
    <xf numFmtId="165" fontId="2" fillId="0" borderId="69" xfId="51" applyNumberFormat="1" applyFont="1" applyBorder="1" applyAlignment="1">
      <alignment horizontal="left" indent="1"/>
    </xf>
    <xf numFmtId="165" fontId="2" fillId="0" borderId="31" xfId="51" applyNumberFormat="1" applyFont="1" applyBorder="1" applyAlignment="1">
      <alignment horizontal="left" indent="1"/>
    </xf>
    <xf numFmtId="165" fontId="2" fillId="0" borderId="49" xfId="51" applyNumberFormat="1" applyFont="1" applyBorder="1" applyAlignment="1">
      <alignment horizontal="left" indent="1"/>
    </xf>
    <xf numFmtId="4" fontId="3" fillId="3" borderId="4" xfId="2" applyNumberFormat="1" applyFont="1" applyFill="1" applyBorder="1" applyAlignment="1"/>
    <xf numFmtId="0" fontId="2" fillId="0" borderId="3" xfId="1" applyFont="1" applyBorder="1" applyAlignment="1">
      <alignment horizontal="left" indent="1"/>
    </xf>
    <xf numFmtId="165" fontId="2" fillId="0" borderId="6" xfId="1" applyNumberFormat="1" applyFont="1" applyBorder="1" applyAlignment="1">
      <alignment horizontal="left" indent="1"/>
    </xf>
    <xf numFmtId="0" fontId="16" fillId="0" borderId="0" xfId="1" applyFont="1" applyBorder="1" applyAlignment="1">
      <alignment horizontal="left" indent="1"/>
    </xf>
    <xf numFmtId="165" fontId="16" fillId="0" borderId="0" xfId="1" applyNumberFormat="1" applyFont="1" applyBorder="1" applyAlignment="1">
      <alignment horizontal="left" indent="1"/>
    </xf>
    <xf numFmtId="3" fontId="52" fillId="0" borderId="47" xfId="1" applyNumberFormat="1" applyFont="1" applyFill="1" applyBorder="1" applyAlignment="1">
      <alignment horizontal="right" wrapText="1"/>
    </xf>
    <xf numFmtId="3" fontId="52" fillId="0" borderId="33" xfId="1" applyNumberFormat="1" applyFont="1" applyFill="1" applyBorder="1" applyAlignment="1">
      <alignment horizontal="right" wrapText="1"/>
    </xf>
    <xf numFmtId="4" fontId="53" fillId="29" borderId="4" xfId="2" applyNumberFormat="1" applyFont="1" applyFill="1" applyBorder="1" applyAlignment="1"/>
    <xf numFmtId="4" fontId="53" fillId="30" borderId="4" xfId="2" applyNumberFormat="1" applyFont="1" applyFill="1" applyBorder="1" applyAlignment="1"/>
    <xf numFmtId="4" fontId="54" fillId="6" borderId="4" xfId="2" applyNumberFormat="1" applyFont="1" applyFill="1" applyBorder="1" applyAlignment="1"/>
    <xf numFmtId="4" fontId="2" fillId="0" borderId="3" xfId="1" applyNumberFormat="1" applyFont="1" applyBorder="1" applyAlignment="1">
      <alignment horizontal="left" indent="1"/>
    </xf>
    <xf numFmtId="1" fontId="37" fillId="0" borderId="52" xfId="42" applyNumberFormat="1" applyFont="1" applyBorder="1" applyAlignment="1">
      <alignment horizontal="left" wrapText="1"/>
    </xf>
    <xf numFmtId="4" fontId="37" fillId="0" borderId="52" xfId="42" applyNumberFormat="1" applyFont="1" applyBorder="1" applyAlignment="1">
      <alignment horizontal="right" wrapText="1"/>
    </xf>
    <xf numFmtId="4" fontId="37" fillId="0" borderId="0" xfId="2" applyNumberFormat="1" applyFont="1" applyFill="1" applyBorder="1" applyAlignment="1"/>
    <xf numFmtId="4" fontId="37" fillId="0" borderId="42" xfId="2" applyNumberFormat="1" applyFont="1" applyBorder="1" applyAlignment="1">
      <alignment wrapText="1"/>
    </xf>
    <xf numFmtId="4" fontId="37" fillId="0" borderId="70" xfId="2" applyNumberFormat="1" applyFont="1" applyFill="1" applyBorder="1" applyAlignment="1"/>
    <xf numFmtId="4" fontId="37" fillId="0" borderId="48" xfId="2" applyNumberFormat="1" applyFont="1" applyFill="1" applyBorder="1" applyAlignment="1"/>
    <xf numFmtId="4" fontId="37" fillId="0" borderId="48" xfId="2" applyNumberFormat="1" applyFont="1" applyBorder="1" applyAlignment="1">
      <alignment wrapText="1"/>
    </xf>
    <xf numFmtId="43" fontId="2" fillId="0" borderId="0" xfId="1" applyNumberFormat="1" applyFont="1" applyAlignment="1">
      <alignment horizontal="left" indent="1"/>
    </xf>
    <xf numFmtId="4" fontId="15" fillId="6" borderId="6" xfId="2" applyNumberFormat="1" applyFont="1" applyFill="1" applyBorder="1" applyAlignment="1">
      <alignment wrapText="1"/>
    </xf>
    <xf numFmtId="4" fontId="13" fillId="5" borderId="6" xfId="2" applyNumberFormat="1" applyFont="1" applyFill="1" applyBorder="1" applyAlignment="1">
      <alignment wrapText="1"/>
    </xf>
    <xf numFmtId="4" fontId="10" fillId="5" borderId="6" xfId="2" applyNumberFormat="1" applyFont="1" applyFill="1" applyBorder="1" applyAlignment="1">
      <alignment wrapText="1"/>
    </xf>
    <xf numFmtId="4" fontId="15" fillId="6" borderId="32" xfId="2" applyNumberFormat="1" applyFont="1" applyFill="1" applyBorder="1" applyAlignment="1">
      <alignment wrapText="1"/>
    </xf>
    <xf numFmtId="4" fontId="13" fillId="5" borderId="9" xfId="2" applyNumberFormat="1" applyFont="1" applyFill="1" applyBorder="1" applyAlignment="1">
      <alignment wrapText="1"/>
    </xf>
    <xf numFmtId="4" fontId="9" fillId="6" borderId="6" xfId="2" applyNumberFormat="1" applyFont="1" applyFill="1" applyBorder="1" applyAlignment="1">
      <alignment wrapText="1"/>
    </xf>
    <xf numFmtId="4" fontId="8" fillId="5" borderId="6" xfId="2" applyNumberFormat="1" applyFont="1" applyFill="1" applyBorder="1" applyAlignment="1">
      <alignment wrapText="1"/>
    </xf>
    <xf numFmtId="4" fontId="6" fillId="5" borderId="6" xfId="2" applyNumberFormat="1" applyFont="1" applyFill="1" applyBorder="1" applyAlignment="1">
      <alignment wrapText="1"/>
    </xf>
    <xf numFmtId="4" fontId="5" fillId="6" borderId="6" xfId="2" applyNumberFormat="1" applyFont="1" applyFill="1" applyBorder="1" applyAlignment="1">
      <alignment wrapText="1"/>
    </xf>
    <xf numFmtId="4" fontId="46" fillId="5" borderId="6" xfId="2" applyNumberFormat="1" applyFont="1" applyFill="1" applyBorder="1" applyAlignment="1">
      <alignment wrapText="1"/>
    </xf>
    <xf numFmtId="4" fontId="53" fillId="30" borderId="1" xfId="2" applyNumberFormat="1" applyFont="1" applyFill="1" applyBorder="1" applyAlignment="1"/>
    <xf numFmtId="0" fontId="6" fillId="0" borderId="4" xfId="42" applyNumberFormat="1" applyFont="1" applyFill="1" applyBorder="1" applyAlignment="1" applyProtection="1">
      <alignment horizontal="center" vertical="center" wrapText="1"/>
    </xf>
    <xf numFmtId="165" fontId="48" fillId="0" borderId="29" xfId="51" applyNumberFormat="1" applyFont="1" applyBorder="1" applyAlignment="1">
      <alignment horizontal="left" indent="1"/>
    </xf>
    <xf numFmtId="165" fontId="48" fillId="0" borderId="6" xfId="51" applyNumberFormat="1" applyFont="1" applyBorder="1" applyAlignment="1">
      <alignment horizontal="left" indent="1"/>
    </xf>
    <xf numFmtId="0" fontId="55" fillId="0" borderId="0" xfId="1" applyFont="1" applyAlignment="1">
      <alignment horizontal="left" indent="1"/>
    </xf>
    <xf numFmtId="4" fontId="46" fillId="0" borderId="47" xfId="1" applyNumberFormat="1" applyFont="1" applyFill="1" applyBorder="1" applyAlignment="1">
      <alignment horizontal="right" wrapText="1"/>
    </xf>
    <xf numFmtId="4" fontId="46" fillId="0" borderId="65" xfId="1" applyNumberFormat="1" applyFont="1" applyFill="1" applyBorder="1" applyAlignment="1">
      <alignment horizontal="right" wrapText="1"/>
    </xf>
    <xf numFmtId="4" fontId="6" fillId="0" borderId="1" xfId="1" applyNumberFormat="1" applyFont="1" applyFill="1" applyBorder="1" applyAlignment="1">
      <alignment horizontal="right" wrapText="1"/>
    </xf>
    <xf numFmtId="4" fontId="36" fillId="0" borderId="47" xfId="51" applyNumberFormat="1" applyFont="1" applyFill="1" applyBorder="1" applyAlignment="1" applyProtection="1"/>
    <xf numFmtId="4" fontId="36" fillId="0" borderId="33" xfId="51" applyNumberFormat="1" applyFont="1" applyFill="1" applyBorder="1" applyAlignment="1" applyProtection="1"/>
    <xf numFmtId="4" fontId="6" fillId="0" borderId="4" xfId="51" applyNumberFormat="1" applyFont="1" applyFill="1" applyBorder="1" applyAlignment="1" applyProtection="1"/>
    <xf numFmtId="4" fontId="16" fillId="0" borderId="1" xfId="1" applyNumberFormat="1" applyFont="1" applyFill="1" applyBorder="1" applyAlignment="1">
      <alignment vertical="center" wrapText="1"/>
    </xf>
    <xf numFmtId="4" fontId="35" fillId="0" borderId="9" xfId="1" applyNumberFormat="1" applyFont="1" applyFill="1" applyBorder="1" applyAlignment="1">
      <alignment wrapText="1"/>
    </xf>
    <xf numFmtId="4" fontId="35" fillId="0" borderId="52" xfId="1" applyNumberFormat="1" applyFont="1" applyFill="1" applyBorder="1" applyAlignment="1">
      <alignment wrapText="1"/>
    </xf>
    <xf numFmtId="4" fontId="16" fillId="0" borderId="1" xfId="1" applyNumberFormat="1" applyFont="1" applyFill="1" applyBorder="1" applyAlignment="1">
      <alignment wrapText="1"/>
    </xf>
    <xf numFmtId="4" fontId="36" fillId="0" borderId="71" xfId="42" applyNumberFormat="1" applyFont="1" applyFill="1" applyBorder="1" applyAlignment="1" applyProtection="1"/>
    <xf numFmtId="4" fontId="36" fillId="0" borderId="68" xfId="42" applyNumberFormat="1" applyFont="1" applyFill="1" applyBorder="1" applyAlignment="1" applyProtection="1"/>
    <xf numFmtId="4" fontId="36" fillId="0" borderId="72" xfId="42" applyNumberFormat="1" applyFont="1" applyFill="1" applyBorder="1" applyAlignment="1" applyProtection="1"/>
    <xf numFmtId="165" fontId="2" fillId="0" borderId="6" xfId="51" applyNumberFormat="1" applyFont="1" applyFill="1" applyBorder="1" applyAlignment="1">
      <alignment horizontal="left" indent="1"/>
    </xf>
    <xf numFmtId="165" fontId="2" fillId="0" borderId="33" xfId="51" applyNumberFormat="1" applyFont="1" applyFill="1" applyBorder="1" applyAlignment="1">
      <alignment horizontal="left" indent="1"/>
    </xf>
    <xf numFmtId="43" fontId="36" fillId="0" borderId="0" xfId="51" applyFont="1" applyFill="1" applyBorder="1" applyAlignment="1" applyProtection="1">
      <alignment vertical="center"/>
    </xf>
    <xf numFmtId="43" fontId="2" fillId="0" borderId="6" xfId="51" applyFont="1" applyBorder="1" applyAlignment="1">
      <alignment horizontal="left" indent="1"/>
    </xf>
    <xf numFmtId="43" fontId="45" fillId="0" borderId="47" xfId="51" applyFont="1" applyFill="1" applyBorder="1" applyAlignment="1">
      <alignment horizontal="right" wrapText="1"/>
    </xf>
    <xf numFmtId="43" fontId="2" fillId="0" borderId="29" xfId="51" applyFont="1" applyBorder="1" applyAlignment="1">
      <alignment horizontal="left" indent="1"/>
    </xf>
    <xf numFmtId="43" fontId="2" fillId="0" borderId="33" xfId="51" applyFont="1" applyBorder="1" applyAlignment="1">
      <alignment horizontal="left" indent="1"/>
    </xf>
    <xf numFmtId="43" fontId="46" fillId="0" borderId="47" xfId="51" applyFont="1" applyFill="1" applyBorder="1" applyAlignment="1">
      <alignment horizontal="right" wrapText="1"/>
    </xf>
    <xf numFmtId="43" fontId="15" fillId="6" borderId="33" xfId="51" applyFont="1" applyFill="1" applyBorder="1" applyAlignment="1">
      <alignment wrapText="1"/>
    </xf>
    <xf numFmtId="43" fontId="13" fillId="5" borderId="33" xfId="51" applyFont="1" applyFill="1" applyBorder="1" applyAlignment="1">
      <alignment wrapText="1"/>
    </xf>
    <xf numFmtId="43" fontId="2" fillId="0" borderId="6" xfId="51" applyFont="1" applyFill="1" applyBorder="1" applyAlignment="1">
      <alignment horizontal="left" indent="1"/>
    </xf>
    <xf numFmtId="43" fontId="10" fillId="5" borderId="33" xfId="51" applyFont="1" applyFill="1" applyBorder="1" applyAlignment="1">
      <alignment wrapText="1"/>
    </xf>
    <xf numFmtId="43" fontId="15" fillId="6" borderId="66" xfId="51" applyFont="1" applyFill="1" applyBorder="1" applyAlignment="1">
      <alignment wrapText="1"/>
    </xf>
    <xf numFmtId="43" fontId="13" fillId="5" borderId="47" xfId="51" applyFont="1" applyFill="1" applyBorder="1" applyAlignment="1">
      <alignment wrapText="1"/>
    </xf>
    <xf numFmtId="43" fontId="9" fillId="6" borderId="33" xfId="51" applyFont="1" applyFill="1" applyBorder="1" applyAlignment="1">
      <alignment wrapText="1"/>
    </xf>
    <xf numFmtId="43" fontId="8" fillId="5" borderId="33" xfId="51" applyFont="1" applyFill="1" applyBorder="1" applyAlignment="1">
      <alignment wrapText="1"/>
    </xf>
    <xf numFmtId="43" fontId="6" fillId="5" borderId="33" xfId="51" applyFont="1" applyFill="1" applyBorder="1" applyAlignment="1">
      <alignment wrapText="1"/>
    </xf>
    <xf numFmtId="43" fontId="5" fillId="6" borderId="33" xfId="51" applyFont="1" applyFill="1" applyBorder="1" applyAlignment="1">
      <alignment wrapText="1"/>
    </xf>
    <xf numFmtId="43" fontId="46" fillId="5" borderId="33" xfId="51" applyFont="1" applyFill="1" applyBorder="1" applyAlignment="1">
      <alignment wrapText="1"/>
    </xf>
    <xf numFmtId="43" fontId="2" fillId="0" borderId="3" xfId="51" applyFont="1" applyBorder="1" applyAlignment="1">
      <alignment horizontal="left" indent="1"/>
    </xf>
    <xf numFmtId="0" fontId="16" fillId="0" borderId="0" xfId="1" applyFont="1" applyFill="1" applyBorder="1" applyAlignment="1">
      <alignment horizontal="left" indent="1"/>
    </xf>
    <xf numFmtId="0" fontId="2" fillId="0" borderId="34" xfId="1" applyFont="1" applyBorder="1" applyAlignment="1">
      <alignment horizontal="left" indent="1"/>
    </xf>
    <xf numFmtId="43" fontId="54" fillId="3" borderId="4" xfId="51" applyFont="1" applyFill="1" applyBorder="1" applyAlignment="1"/>
    <xf numFmtId="0" fontId="16" fillId="3" borderId="1" xfId="1" applyFont="1" applyFill="1" applyBorder="1" applyAlignment="1">
      <alignment horizontal="left" indent="1"/>
    </xf>
    <xf numFmtId="165" fontId="2" fillId="0" borderId="8" xfId="51" applyNumberFormat="1" applyFont="1" applyBorder="1" applyAlignment="1">
      <alignment horizontal="left" indent="1"/>
    </xf>
    <xf numFmtId="165" fontId="2" fillId="0" borderId="68" xfId="51" applyNumberFormat="1" applyFont="1" applyBorder="1" applyAlignment="1">
      <alignment horizontal="left" indent="1"/>
    </xf>
    <xf numFmtId="43" fontId="2" fillId="0" borderId="8" xfId="51" applyFont="1" applyBorder="1" applyAlignment="1">
      <alignment horizontal="left" indent="1"/>
    </xf>
    <xf numFmtId="43" fontId="2" fillId="0" borderId="68" xfId="51" applyFont="1" applyBorder="1" applyAlignment="1">
      <alignment horizontal="left" indent="1"/>
    </xf>
    <xf numFmtId="0" fontId="50" fillId="0" borderId="58" xfId="1" applyFont="1" applyBorder="1" applyAlignment="1">
      <alignment horizontal="center" wrapText="1"/>
    </xf>
    <xf numFmtId="0" fontId="50" fillId="0" borderId="57" xfId="1" applyFont="1" applyBorder="1" applyAlignment="1">
      <alignment horizontal="center" wrapText="1"/>
    </xf>
    <xf numFmtId="4" fontId="53" fillId="31" borderId="4" xfId="2" applyNumberFormat="1" applyFont="1" applyFill="1" applyBorder="1" applyAlignment="1"/>
    <xf numFmtId="4" fontId="15" fillId="7" borderId="66" xfId="1" applyNumberFormat="1" applyFont="1" applyFill="1" applyBorder="1" applyAlignment="1">
      <alignment horizontal="right" wrapText="1"/>
    </xf>
    <xf numFmtId="4" fontId="15" fillId="7" borderId="32" xfId="1" applyNumberFormat="1" applyFont="1" applyFill="1" applyBorder="1" applyAlignment="1">
      <alignment horizontal="right" wrapText="1"/>
    </xf>
    <xf numFmtId="4" fontId="53" fillId="31" borderId="1" xfId="2" applyNumberFormat="1" applyFont="1" applyFill="1" applyBorder="1" applyAlignment="1"/>
    <xf numFmtId="165" fontId="48" fillId="0" borderId="33" xfId="51" applyNumberFormat="1" applyFont="1" applyBorder="1" applyAlignment="1">
      <alignment horizontal="left" indent="1"/>
    </xf>
    <xf numFmtId="4" fontId="2" fillId="0" borderId="0" xfId="1" applyNumberFormat="1" applyFont="1" applyBorder="1" applyAlignment="1">
      <alignment horizontal="left" indent="1"/>
    </xf>
    <xf numFmtId="43" fontId="36" fillId="0" borderId="0" xfId="42" applyNumberFormat="1" applyFont="1" applyFill="1" applyBorder="1" applyAlignment="1" applyProtection="1">
      <alignment vertical="center"/>
    </xf>
    <xf numFmtId="43" fontId="16" fillId="0" borderId="6" xfId="1" applyNumberFormat="1" applyFont="1" applyBorder="1" applyAlignment="1">
      <alignment horizontal="left" indent="1"/>
    </xf>
    <xf numFmtId="4" fontId="15" fillId="6" borderId="29" xfId="2" applyNumberFormat="1" applyFont="1" applyFill="1" applyBorder="1" applyAlignment="1">
      <alignment wrapText="1"/>
    </xf>
    <xf numFmtId="4" fontId="13" fillId="5" borderId="29" xfId="2" applyNumberFormat="1" applyFont="1" applyFill="1" applyBorder="1" applyAlignment="1">
      <alignment wrapText="1"/>
    </xf>
    <xf numFmtId="165" fontId="2" fillId="0" borderId="77" xfId="51" applyNumberFormat="1" applyFont="1" applyBorder="1" applyAlignment="1">
      <alignment horizontal="left" indent="1"/>
    </xf>
    <xf numFmtId="165" fontId="48" fillId="0" borderId="77" xfId="51" applyNumberFormat="1" applyFont="1" applyBorder="1" applyAlignment="1">
      <alignment horizontal="left" indent="1"/>
    </xf>
    <xf numFmtId="43" fontId="2" fillId="0" borderId="77" xfId="51" applyFont="1" applyBorder="1" applyAlignment="1">
      <alignment horizontal="left" indent="1"/>
    </xf>
    <xf numFmtId="165" fontId="2" fillId="0" borderId="77" xfId="51" applyNumberFormat="1" applyFont="1" applyFill="1" applyBorder="1" applyAlignment="1">
      <alignment horizontal="left" indent="1"/>
    </xf>
    <xf numFmtId="4" fontId="10" fillId="5" borderId="29" xfId="2" applyNumberFormat="1" applyFont="1" applyFill="1" applyBorder="1" applyAlignment="1">
      <alignment wrapText="1"/>
    </xf>
    <xf numFmtId="165" fontId="2" fillId="28" borderId="77" xfId="51" applyNumberFormat="1" applyFont="1" applyFill="1" applyBorder="1" applyAlignment="1">
      <alignment horizontal="left" indent="1"/>
    </xf>
    <xf numFmtId="4" fontId="15" fillId="6" borderId="73" xfId="2" applyNumberFormat="1" applyFont="1" applyFill="1" applyBorder="1" applyAlignment="1">
      <alignment wrapText="1"/>
    </xf>
    <xf numFmtId="4" fontId="13" fillId="5" borderId="74" xfId="2" applyNumberFormat="1" applyFont="1" applyFill="1" applyBorder="1" applyAlignment="1">
      <alignment wrapText="1"/>
    </xf>
    <xf numFmtId="4" fontId="9" fillId="6" borderId="29" xfId="2" applyNumberFormat="1" applyFont="1" applyFill="1" applyBorder="1" applyAlignment="1">
      <alignment wrapText="1"/>
    </xf>
    <xf numFmtId="4" fontId="8" fillId="5" borderId="29" xfId="2" applyNumberFormat="1" applyFont="1" applyFill="1" applyBorder="1" applyAlignment="1">
      <alignment wrapText="1"/>
    </xf>
    <xf numFmtId="4" fontId="6" fillId="5" borderId="29" xfId="2" applyNumberFormat="1" applyFont="1" applyFill="1" applyBorder="1" applyAlignment="1">
      <alignment wrapText="1"/>
    </xf>
    <xf numFmtId="4" fontId="5" fillId="6" borderId="29" xfId="2" applyNumberFormat="1" applyFont="1" applyFill="1" applyBorder="1" applyAlignment="1">
      <alignment wrapText="1"/>
    </xf>
    <xf numFmtId="4" fontId="46" fillId="5" borderId="29" xfId="2" applyNumberFormat="1" applyFont="1" applyFill="1" applyBorder="1" applyAlignment="1">
      <alignment wrapText="1"/>
    </xf>
    <xf numFmtId="165" fontId="2" fillId="0" borderId="76" xfId="51" applyNumberFormat="1" applyFont="1" applyBorder="1" applyAlignment="1">
      <alignment horizontal="left" indent="1"/>
    </xf>
    <xf numFmtId="4" fontId="53" fillId="29" borderId="22" xfId="2" applyNumberFormat="1" applyFont="1" applyFill="1" applyBorder="1" applyAlignment="1"/>
    <xf numFmtId="4" fontId="46" fillId="0" borderId="32" xfId="1" applyNumberFormat="1" applyFont="1" applyFill="1" applyBorder="1" applyAlignment="1">
      <alignment horizontal="right" wrapText="1"/>
    </xf>
    <xf numFmtId="43" fontId="2" fillId="0" borderId="33" xfId="51" applyFont="1" applyFill="1" applyBorder="1" applyAlignment="1">
      <alignment horizontal="left" indent="1"/>
    </xf>
    <xf numFmtId="43" fontId="56" fillId="0" borderId="33" xfId="51" applyFont="1" applyBorder="1" applyAlignment="1">
      <alignment horizontal="left" indent="1"/>
    </xf>
    <xf numFmtId="0" fontId="2" fillId="0" borderId="56" xfId="1" applyFont="1" applyBorder="1" applyAlignment="1">
      <alignment horizontal="center"/>
    </xf>
    <xf numFmtId="0" fontId="50" fillId="0" borderId="30" xfId="1" applyFont="1" applyBorder="1" applyAlignment="1">
      <alignment horizontal="center" wrapText="1"/>
    </xf>
    <xf numFmtId="0" fontId="2" fillId="0" borderId="34" xfId="1" applyFont="1" applyBorder="1" applyAlignment="1">
      <alignment horizontal="center"/>
    </xf>
    <xf numFmtId="43" fontId="2" fillId="0" borderId="6" xfId="1" applyNumberFormat="1" applyFont="1" applyBorder="1" applyAlignment="1">
      <alignment horizontal="left" indent="1"/>
    </xf>
    <xf numFmtId="4" fontId="38" fillId="31" borderId="1" xfId="42" applyNumberFormat="1" applyFont="1" applyFill="1" applyBorder="1" applyAlignment="1">
      <alignment horizontal="right" wrapText="1"/>
    </xf>
    <xf numFmtId="4" fontId="39" fillId="29" borderId="1" xfId="2" applyNumberFormat="1" applyFont="1" applyFill="1" applyBorder="1" applyAlignment="1">
      <alignment wrapText="1"/>
    </xf>
    <xf numFmtId="0" fontId="44" fillId="0" borderId="65" xfId="1" applyFont="1" applyBorder="1" applyAlignment="1">
      <alignment horizontal="center" wrapText="1"/>
    </xf>
    <xf numFmtId="0" fontId="44" fillId="0" borderId="0" xfId="1" applyFont="1" applyBorder="1" applyAlignment="1">
      <alignment horizontal="center" wrapText="1"/>
    </xf>
    <xf numFmtId="0" fontId="51" fillId="0" borderId="65" xfId="1" applyFont="1" applyBorder="1" applyAlignment="1">
      <alignment horizontal="center"/>
    </xf>
    <xf numFmtId="0" fontId="2" fillId="0" borderId="65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51" fillId="0" borderId="0" xfId="1" applyFont="1" applyBorder="1" applyAlignment="1">
      <alignment horizontal="center"/>
    </xf>
    <xf numFmtId="0" fontId="51" fillId="0" borderId="78" xfId="1" applyFont="1" applyBorder="1" applyAlignment="1">
      <alignment horizontal="center"/>
    </xf>
    <xf numFmtId="0" fontId="51" fillId="0" borderId="56" xfId="1" applyFont="1" applyBorder="1" applyAlignment="1">
      <alignment horizontal="center"/>
    </xf>
    <xf numFmtId="0" fontId="51" fillId="0" borderId="75" xfId="1" applyFont="1" applyBorder="1" applyAlignment="1">
      <alignment horizontal="center"/>
    </xf>
    <xf numFmtId="0" fontId="6" fillId="0" borderId="65" xfId="42" applyNumberFormat="1" applyFont="1" applyFill="1" applyBorder="1" applyAlignment="1" applyProtection="1">
      <alignment vertical="center"/>
    </xf>
    <xf numFmtId="0" fontId="6" fillId="0" borderId="0" xfId="42" applyNumberFormat="1" applyFont="1" applyFill="1" applyBorder="1" applyAlignment="1" applyProtection="1">
      <alignment vertical="center"/>
    </xf>
    <xf numFmtId="0" fontId="6" fillId="0" borderId="78" xfId="42" applyNumberFormat="1" applyFont="1" applyFill="1" applyBorder="1" applyAlignment="1" applyProtection="1">
      <alignment vertical="center"/>
    </xf>
    <xf numFmtId="4" fontId="46" fillId="0" borderId="9" xfId="1" applyNumberFormat="1" applyFont="1" applyFill="1" applyBorder="1" applyAlignment="1">
      <alignment horizontal="right" wrapText="1"/>
    </xf>
    <xf numFmtId="4" fontId="46" fillId="0" borderId="34" xfId="1" applyNumberFormat="1" applyFont="1" applyFill="1" applyBorder="1" applyAlignment="1">
      <alignment horizontal="right" wrapText="1"/>
    </xf>
    <xf numFmtId="4" fontId="46" fillId="0" borderId="50" xfId="1" applyNumberFormat="1" applyFont="1" applyFill="1" applyBorder="1" applyAlignment="1">
      <alignment horizontal="right" wrapText="1"/>
    </xf>
    <xf numFmtId="0" fontId="12" fillId="7" borderId="81" xfId="1" applyFont="1" applyFill="1" applyBorder="1" applyAlignment="1">
      <alignment horizontal="left" wrapText="1" indent="4"/>
    </xf>
    <xf numFmtId="0" fontId="10" fillId="7" borderId="82" xfId="1" applyFont="1" applyFill="1" applyBorder="1" applyAlignment="1">
      <alignment wrapText="1"/>
    </xf>
    <xf numFmtId="4" fontId="46" fillId="0" borderId="66" xfId="1" applyNumberFormat="1" applyFont="1" applyFill="1" applyBorder="1" applyAlignment="1">
      <alignment horizontal="right" wrapText="1"/>
    </xf>
    <xf numFmtId="43" fontId="15" fillId="7" borderId="66" xfId="51" applyFont="1" applyFill="1" applyBorder="1" applyAlignment="1">
      <alignment horizontal="right" wrapText="1"/>
    </xf>
    <xf numFmtId="4" fontId="15" fillId="7" borderId="73" xfId="1" applyNumberFormat="1" applyFont="1" applyFill="1" applyBorder="1" applyAlignment="1">
      <alignment horizontal="right" wrapText="1"/>
    </xf>
    <xf numFmtId="0" fontId="14" fillId="8" borderId="38" xfId="1" applyFont="1" applyFill="1" applyBorder="1" applyAlignment="1">
      <alignment horizontal="center" wrapText="1"/>
    </xf>
    <xf numFmtId="4" fontId="2" fillId="0" borderId="49" xfId="2" applyNumberFormat="1" applyFont="1" applyBorder="1" applyAlignment="1"/>
    <xf numFmtId="165" fontId="2" fillId="28" borderId="69" xfId="51" applyNumberFormat="1" applyFont="1" applyFill="1" applyBorder="1" applyAlignment="1">
      <alignment horizontal="left" indent="1"/>
    </xf>
    <xf numFmtId="165" fontId="2" fillId="0" borderId="31" xfId="1" applyNumberFormat="1" applyFont="1" applyBorder="1" applyAlignment="1">
      <alignment horizontal="left" indent="1"/>
    </xf>
    <xf numFmtId="43" fontId="2" fillId="0" borderId="31" xfId="51" applyFont="1" applyBorder="1" applyAlignment="1">
      <alignment horizontal="left" indent="1"/>
    </xf>
    <xf numFmtId="165" fontId="2" fillId="0" borderId="83" xfId="51" applyNumberFormat="1" applyFont="1" applyBorder="1" applyAlignment="1">
      <alignment horizontal="left" indent="1"/>
    </xf>
    <xf numFmtId="165" fontId="2" fillId="0" borderId="84" xfId="51" applyNumberFormat="1" applyFont="1" applyBorder="1" applyAlignment="1">
      <alignment horizontal="left" indent="1"/>
    </xf>
    <xf numFmtId="43" fontId="2" fillId="0" borderId="49" xfId="51" applyFont="1" applyBorder="1" applyAlignment="1">
      <alignment horizontal="left" indent="1"/>
    </xf>
    <xf numFmtId="165" fontId="2" fillId="0" borderId="85" xfId="51" applyNumberFormat="1" applyFont="1" applyBorder="1" applyAlignment="1">
      <alignment horizontal="left" indent="1"/>
    </xf>
    <xf numFmtId="4" fontId="46" fillId="0" borderId="52" xfId="1" applyNumberFormat="1" applyFont="1" applyFill="1" applyBorder="1" applyAlignment="1">
      <alignment horizontal="right" wrapText="1"/>
    </xf>
    <xf numFmtId="0" fontId="11" fillId="7" borderId="9" xfId="1" applyFont="1" applyFill="1" applyBorder="1" applyAlignment="1">
      <alignment horizontal="right" wrapText="1"/>
    </xf>
    <xf numFmtId="0" fontId="11" fillId="7" borderId="47" xfId="1" applyFont="1" applyFill="1" applyBorder="1" applyAlignment="1">
      <alignment wrapText="1"/>
    </xf>
    <xf numFmtId="4" fontId="5" fillId="7" borderId="47" xfId="2" applyNumberFormat="1" applyFont="1" applyFill="1" applyBorder="1" applyAlignment="1">
      <alignment wrapText="1"/>
    </xf>
    <xf numFmtId="4" fontId="5" fillId="7" borderId="9" xfId="2" applyNumberFormat="1" applyFont="1" applyFill="1" applyBorder="1" applyAlignment="1">
      <alignment wrapText="1"/>
    </xf>
    <xf numFmtId="43" fontId="5" fillId="7" borderId="47" xfId="51" applyFont="1" applyFill="1" applyBorder="1" applyAlignment="1">
      <alignment wrapText="1"/>
    </xf>
    <xf numFmtId="4" fontId="5" fillId="7" borderId="74" xfId="2" applyNumberFormat="1" applyFont="1" applyFill="1" applyBorder="1" applyAlignment="1">
      <alignment wrapText="1"/>
    </xf>
    <xf numFmtId="0" fontId="12" fillId="7" borderId="86" xfId="1" applyFont="1" applyFill="1" applyBorder="1" applyAlignment="1">
      <alignment horizontal="left" wrapText="1" indent="4"/>
    </xf>
    <xf numFmtId="0" fontId="10" fillId="7" borderId="26" xfId="1" applyFont="1" applyFill="1" applyBorder="1" applyAlignment="1">
      <alignment wrapText="1"/>
    </xf>
    <xf numFmtId="4" fontId="9" fillId="7" borderId="40" xfId="1" applyNumberFormat="1" applyFont="1" applyFill="1" applyBorder="1" applyAlignment="1">
      <alignment horizontal="right" wrapText="1"/>
    </xf>
    <xf numFmtId="4" fontId="9" fillId="7" borderId="32" xfId="1" applyNumberFormat="1" applyFont="1" applyFill="1" applyBorder="1" applyAlignment="1">
      <alignment horizontal="right" wrapText="1"/>
    </xf>
    <xf numFmtId="43" fontId="9" fillId="7" borderId="40" xfId="51" applyFont="1" applyFill="1" applyBorder="1" applyAlignment="1">
      <alignment horizontal="right" wrapText="1"/>
    </xf>
    <xf numFmtId="4" fontId="9" fillId="7" borderId="66" xfId="1" applyNumberFormat="1" applyFont="1" applyFill="1" applyBorder="1" applyAlignment="1">
      <alignment horizontal="right" wrapText="1"/>
    </xf>
    <xf numFmtId="4" fontId="9" fillId="7" borderId="73" xfId="1" applyNumberFormat="1" applyFont="1" applyFill="1" applyBorder="1" applyAlignment="1">
      <alignment horizontal="right" wrapText="1"/>
    </xf>
    <xf numFmtId="0" fontId="4" fillId="4" borderId="87" xfId="1" applyFont="1" applyFill="1" applyBorder="1" applyAlignment="1">
      <alignment horizontal="center" wrapText="1"/>
    </xf>
    <xf numFmtId="0" fontId="4" fillId="4" borderId="34" xfId="1" applyFont="1" applyFill="1" applyBorder="1" applyAlignment="1">
      <alignment wrapText="1"/>
    </xf>
    <xf numFmtId="3" fontId="45" fillId="0" borderId="53" xfId="1" applyNumberFormat="1" applyFont="1" applyFill="1" applyBorder="1" applyAlignment="1">
      <alignment horizontal="right" wrapText="1"/>
    </xf>
    <xf numFmtId="165" fontId="2" fillId="0" borderId="80" xfId="51" applyNumberFormat="1" applyFont="1" applyBorder="1" applyAlignment="1">
      <alignment horizontal="left" indent="1"/>
    </xf>
    <xf numFmtId="165" fontId="2" fillId="0" borderId="53" xfId="51" applyNumberFormat="1" applyFont="1" applyBorder="1" applyAlignment="1">
      <alignment horizontal="left" indent="1"/>
    </xf>
    <xf numFmtId="165" fontId="2" fillId="0" borderId="5" xfId="1" applyNumberFormat="1" applyFont="1" applyBorder="1" applyAlignment="1">
      <alignment horizontal="left" indent="1"/>
    </xf>
    <xf numFmtId="3" fontId="52" fillId="0" borderId="53" xfId="1" applyNumberFormat="1" applyFont="1" applyFill="1" applyBorder="1" applyAlignment="1">
      <alignment horizontal="right" wrapText="1"/>
    </xf>
    <xf numFmtId="43" fontId="2" fillId="0" borderId="5" xfId="51" applyFont="1" applyBorder="1" applyAlignment="1">
      <alignment horizontal="left" indent="1"/>
    </xf>
    <xf numFmtId="165" fontId="2" fillId="0" borderId="42" xfId="51" applyNumberFormat="1" applyFont="1" applyBorder="1" applyAlignment="1">
      <alignment horizontal="left" indent="1"/>
    </xf>
    <xf numFmtId="165" fontId="2" fillId="0" borderId="72" xfId="51" applyNumberFormat="1" applyFont="1" applyBorder="1" applyAlignment="1">
      <alignment horizontal="left" indent="1"/>
    </xf>
    <xf numFmtId="165" fontId="16" fillId="0" borderId="5" xfId="1" applyNumberFormat="1" applyFont="1" applyBorder="1" applyAlignment="1">
      <alignment horizontal="left" indent="1"/>
    </xf>
    <xf numFmtId="43" fontId="56" fillId="0" borderId="53" xfId="51" applyFont="1" applyBorder="1" applyAlignment="1">
      <alignment horizontal="left" indent="1"/>
    </xf>
    <xf numFmtId="0" fontId="15" fillId="0" borderId="4" xfId="42" applyNumberFormat="1" applyFont="1" applyFill="1" applyBorder="1" applyAlignment="1" applyProtection="1">
      <alignment horizontal="center" vertical="center" wrapText="1"/>
    </xf>
    <xf numFmtId="0" fontId="15" fillId="0" borderId="22" xfId="42" applyNumberFormat="1" applyFont="1" applyFill="1" applyBorder="1" applyAlignment="1" applyProtection="1">
      <alignment horizontal="center" vertical="center" wrapText="1"/>
    </xf>
    <xf numFmtId="0" fontId="15" fillId="0" borderId="2" xfId="42" applyNumberFormat="1" applyFont="1" applyFill="1" applyBorder="1" applyAlignment="1" applyProtection="1">
      <alignment horizontal="center" vertical="center" wrapText="1"/>
    </xf>
    <xf numFmtId="0" fontId="57" fillId="29" borderId="4" xfId="42" applyFont="1" applyFill="1" applyBorder="1" applyAlignment="1">
      <alignment horizontal="center" vertical="center"/>
    </xf>
    <xf numFmtId="0" fontId="57" fillId="29" borderId="22" xfId="42" applyFont="1" applyFill="1" applyBorder="1" applyAlignment="1">
      <alignment horizontal="center" vertical="center"/>
    </xf>
    <xf numFmtId="0" fontId="57" fillId="29" borderId="2" xfId="42" applyFont="1" applyFill="1" applyBorder="1" applyAlignment="1">
      <alignment horizontal="center" vertical="center"/>
    </xf>
    <xf numFmtId="4" fontId="38" fillId="0" borderId="22" xfId="2" applyNumberFormat="1" applyFont="1" applyBorder="1" applyAlignment="1">
      <alignment horizontal="center"/>
    </xf>
    <xf numFmtId="4" fontId="38" fillId="0" borderId="2" xfId="2" applyNumberFormat="1" applyFont="1" applyBorder="1" applyAlignment="1">
      <alignment horizontal="center"/>
    </xf>
    <xf numFmtId="1" fontId="38" fillId="25" borderId="51" xfId="42" applyNumberFormat="1" applyFont="1" applyFill="1" applyBorder="1" applyAlignment="1">
      <alignment horizontal="center" vertical="center" wrapText="1"/>
    </xf>
    <xf numFmtId="1" fontId="38" fillId="25" borderId="50" xfId="42" applyNumberFormat="1" applyFont="1" applyFill="1" applyBorder="1" applyAlignment="1">
      <alignment horizontal="center" vertical="center" wrapText="1"/>
    </xf>
    <xf numFmtId="4" fontId="16" fillId="0" borderId="32" xfId="1" applyNumberFormat="1" applyFont="1" applyFill="1" applyBorder="1" applyAlignment="1">
      <alignment horizontal="center" vertical="center" wrapText="1"/>
    </xf>
    <xf numFmtId="4" fontId="16" fillId="0" borderId="5" xfId="1" applyNumberFormat="1" applyFont="1" applyFill="1" applyBorder="1" applyAlignment="1">
      <alignment horizontal="center" vertical="center" wrapText="1"/>
    </xf>
    <xf numFmtId="0" fontId="44" fillId="29" borderId="34" xfId="1" applyFont="1" applyFill="1" applyBorder="1" applyAlignment="1">
      <alignment horizontal="center"/>
    </xf>
    <xf numFmtId="0" fontId="44" fillId="29" borderId="56" xfId="1" applyFont="1" applyFill="1" applyBorder="1" applyAlignment="1">
      <alignment horizontal="center"/>
    </xf>
    <xf numFmtId="0" fontId="44" fillId="29" borderId="75" xfId="1" applyFont="1" applyFill="1" applyBorder="1" applyAlignment="1">
      <alignment horizontal="center"/>
    </xf>
    <xf numFmtId="0" fontId="44" fillId="30" borderId="34" xfId="1" applyFont="1" applyFill="1" applyBorder="1" applyAlignment="1">
      <alignment horizontal="center"/>
    </xf>
    <xf numFmtId="0" fontId="44" fillId="30" borderId="56" xfId="1" applyFont="1" applyFill="1" applyBorder="1" applyAlignment="1">
      <alignment horizontal="center"/>
    </xf>
    <xf numFmtId="0" fontId="44" fillId="31" borderId="34" xfId="1" applyFont="1" applyFill="1" applyBorder="1" applyAlignment="1">
      <alignment horizontal="center"/>
    </xf>
    <xf numFmtId="0" fontId="44" fillId="31" borderId="75" xfId="1" applyFont="1" applyFill="1" applyBorder="1" applyAlignment="1">
      <alignment horizontal="center"/>
    </xf>
    <xf numFmtId="4" fontId="3" fillId="0" borderId="73" xfId="1" applyNumberFormat="1" applyFont="1" applyBorder="1" applyAlignment="1">
      <alignment horizontal="center" vertical="center" wrapText="1"/>
    </xf>
    <xf numFmtId="4" fontId="3" fillId="0" borderId="80" xfId="1" applyNumberFormat="1" applyFont="1" applyBorder="1" applyAlignment="1">
      <alignment horizontal="center" vertical="center" wrapText="1"/>
    </xf>
    <xf numFmtId="4" fontId="3" fillId="3" borderId="32" xfId="1" applyNumberFormat="1" applyFont="1" applyFill="1" applyBorder="1" applyAlignment="1">
      <alignment horizontal="center" vertical="center" wrapText="1"/>
    </xf>
    <xf numFmtId="4" fontId="3" fillId="3" borderId="5" xfId="1" applyNumberFormat="1" applyFont="1" applyFill="1" applyBorder="1" applyAlignment="1">
      <alignment horizontal="center" vertical="center" wrapText="1"/>
    </xf>
    <xf numFmtId="4" fontId="16" fillId="0" borderId="9" xfId="1" applyNumberFormat="1" applyFont="1" applyFill="1" applyBorder="1" applyAlignment="1">
      <alignment horizontal="center" vertical="center" wrapText="1"/>
    </xf>
    <xf numFmtId="0" fontId="44" fillId="31" borderId="56" xfId="1" applyFont="1" applyFill="1" applyBorder="1" applyAlignment="1">
      <alignment horizontal="center"/>
    </xf>
    <xf numFmtId="4" fontId="3" fillId="0" borderId="47" xfId="1" applyNumberFormat="1" applyFont="1" applyBorder="1" applyAlignment="1">
      <alignment horizontal="center" vertical="center" wrapText="1"/>
    </xf>
    <xf numFmtId="4" fontId="3" fillId="0" borderId="53" xfId="1" applyNumberFormat="1" applyFont="1" applyBorder="1" applyAlignment="1">
      <alignment horizontal="center" vertical="center" wrapText="1"/>
    </xf>
    <xf numFmtId="4" fontId="3" fillId="3" borderId="9" xfId="1" applyNumberFormat="1" applyFont="1" applyFill="1" applyBorder="1" applyAlignment="1">
      <alignment horizontal="center" vertical="center" wrapText="1"/>
    </xf>
    <xf numFmtId="0" fontId="44" fillId="29" borderId="60" xfId="1" applyFont="1" applyFill="1" applyBorder="1" applyAlignment="1">
      <alignment horizontal="center"/>
    </xf>
    <xf numFmtId="0" fontId="44" fillId="29" borderId="55" xfId="1" applyFont="1" applyFill="1" applyBorder="1" applyAlignment="1">
      <alignment horizontal="center"/>
    </xf>
    <xf numFmtId="0" fontId="44" fillId="29" borderId="61" xfId="1" applyFont="1" applyFill="1" applyBorder="1" applyAlignment="1">
      <alignment horizontal="center"/>
    </xf>
    <xf numFmtId="0" fontId="44" fillId="30" borderId="75" xfId="1" applyFont="1" applyFill="1" applyBorder="1" applyAlignment="1">
      <alignment horizontal="center"/>
    </xf>
    <xf numFmtId="4" fontId="3" fillId="3" borderId="79" xfId="1" applyNumberFormat="1" applyFont="1" applyFill="1" applyBorder="1" applyAlignment="1">
      <alignment horizontal="center" vertical="center" wrapText="1"/>
    </xf>
    <xf numFmtId="4" fontId="3" fillId="3" borderId="76" xfId="1" applyNumberFormat="1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4" fontId="49" fillId="27" borderId="9" xfId="1" applyNumberFormat="1" applyFont="1" applyFill="1" applyBorder="1" applyAlignment="1">
      <alignment horizontal="center" vertical="center" wrapText="1"/>
    </xf>
    <xf numFmtId="4" fontId="49" fillId="27" borderId="5" xfId="1" applyNumberFormat="1" applyFont="1" applyFill="1" applyBorder="1" applyAlignment="1">
      <alignment horizontal="center" vertical="center" wrapText="1"/>
    </xf>
    <xf numFmtId="4" fontId="3" fillId="0" borderId="9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center" vertical="center" wrapText="1"/>
    </xf>
    <xf numFmtId="0" fontId="51" fillId="6" borderId="4" xfId="1" applyFont="1" applyFill="1" applyBorder="1" applyAlignment="1">
      <alignment horizontal="center" vertical="center" wrapText="1"/>
    </xf>
    <xf numFmtId="0" fontId="51" fillId="6" borderId="22" xfId="1" applyFont="1" applyFill="1" applyBorder="1" applyAlignment="1">
      <alignment horizontal="center" vertical="center" wrapText="1"/>
    </xf>
    <xf numFmtId="0" fontId="51" fillId="6" borderId="2" xfId="1" applyFont="1" applyFill="1" applyBorder="1" applyAlignment="1">
      <alignment horizontal="center" vertical="center" wrapText="1"/>
    </xf>
    <xf numFmtId="0" fontId="51" fillId="6" borderId="65" xfId="1" applyFont="1" applyFill="1" applyBorder="1" applyAlignment="1">
      <alignment horizontal="center"/>
    </xf>
    <xf numFmtId="0" fontId="51" fillId="6" borderId="0" xfId="1" applyFont="1" applyFill="1" applyBorder="1" applyAlignment="1">
      <alignment horizontal="center"/>
    </xf>
    <xf numFmtId="0" fontId="51" fillId="30" borderId="65" xfId="1" applyFont="1" applyFill="1" applyBorder="1" applyAlignment="1">
      <alignment horizontal="center"/>
    </xf>
    <xf numFmtId="0" fontId="51" fillId="30" borderId="0" xfId="1" applyFont="1" applyFill="1" applyBorder="1" applyAlignment="1">
      <alignment horizontal="center"/>
    </xf>
    <xf numFmtId="0" fontId="51" fillId="30" borderId="78" xfId="1" applyFont="1" applyFill="1" applyBorder="1" applyAlignment="1">
      <alignment horizontal="center"/>
    </xf>
    <xf numFmtId="0" fontId="51" fillId="6" borderId="78" xfId="1" applyFont="1" applyFill="1" applyBorder="1" applyAlignment="1">
      <alignment horizontal="center"/>
    </xf>
    <xf numFmtId="0" fontId="44" fillId="0" borderId="23" xfId="1" applyFont="1" applyBorder="1" applyAlignment="1">
      <alignment horizontal="center" wrapText="1"/>
    </xf>
    <xf numFmtId="0" fontId="44" fillId="0" borderId="54" xfId="1" applyFont="1" applyBorder="1" applyAlignment="1">
      <alignment horizontal="center" wrapText="1"/>
    </xf>
    <xf numFmtId="0" fontId="44" fillId="0" borderId="59" xfId="1" applyFont="1" applyBorder="1" applyAlignment="1">
      <alignment horizontal="center" wrapText="1"/>
    </xf>
    <xf numFmtId="0" fontId="51" fillId="0" borderId="23" xfId="1" applyFont="1" applyBorder="1" applyAlignment="1">
      <alignment horizontal="center"/>
    </xf>
    <xf numFmtId="0" fontId="51" fillId="0" borderId="54" xfId="1" applyFont="1" applyBorder="1" applyAlignment="1">
      <alignment horizontal="center"/>
    </xf>
    <xf numFmtId="0" fontId="51" fillId="0" borderId="59" xfId="1" applyFont="1" applyBorder="1" applyAlignment="1">
      <alignment horizontal="center"/>
    </xf>
    <xf numFmtId="0" fontId="51" fillId="0" borderId="0" xfId="1" applyFont="1" applyBorder="1" applyAlignment="1">
      <alignment horizontal="center"/>
    </xf>
    <xf numFmtId="0" fontId="51" fillId="0" borderId="78" xfId="1" applyFont="1" applyBorder="1" applyAlignment="1">
      <alignment horizontal="center"/>
    </xf>
    <xf numFmtId="0" fontId="51" fillId="0" borderId="56" xfId="1" applyFont="1" applyBorder="1" applyAlignment="1">
      <alignment horizontal="center"/>
    </xf>
    <xf numFmtId="0" fontId="51" fillId="0" borderId="75" xfId="1" applyFont="1" applyBorder="1" applyAlignment="1">
      <alignment horizontal="center"/>
    </xf>
  </cellXfs>
  <cellStyles count="5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 2" xfId="39"/>
    <cellStyle name="Normalno 2" xfId="1"/>
    <cellStyle name="Note" xfId="40"/>
    <cellStyle name="Obično" xfId="0" builtinId="0"/>
    <cellStyle name="Obično 2" xfId="41"/>
    <cellStyle name="Obično 3" xfId="42"/>
    <cellStyle name="Obično 3 2" xfId="43"/>
    <cellStyle name="Obično 3 3" xfId="44"/>
    <cellStyle name="Output" xfId="45"/>
    <cellStyle name="Title" xfId="46"/>
    <cellStyle name="Total" xfId="47"/>
    <cellStyle name="Warning Text" xfId="48"/>
    <cellStyle name="Zarez" xfId="51" builtinId="3"/>
    <cellStyle name="Zarez 2" xfId="2"/>
    <cellStyle name="Zarez 2 2" xfId="49"/>
    <cellStyle name="Zarez 2 3" xfId="50"/>
    <cellStyle name="Zarez 3" xfId="52"/>
    <cellStyle name="Zarez 4" xfId="53"/>
  </cellStyles>
  <dxfs count="0"/>
  <tableStyles count="0" defaultTableStyle="TableStyleMedium9" defaultPivotStyle="PivotStyleLight16"/>
  <colors>
    <mruColors>
      <color rgb="FF66FF99"/>
      <color rgb="FFFF00FF"/>
      <color rgb="FFFFCCFF"/>
      <color rgb="FF9966FF"/>
      <color rgb="FFF0FDCF"/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0</xdr:rowOff>
    </xdr:from>
    <xdr:ext cx="184731" cy="264560"/>
    <xdr:sp macro="" textlink="">
      <xdr:nvSpPr>
        <xdr:cNvPr id="2" name="TekstniOkvir 1"/>
        <xdr:cNvSpPr txBox="1"/>
      </xdr:nvSpPr>
      <xdr:spPr>
        <a:xfrm>
          <a:off x="101536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184731" cy="264560"/>
    <xdr:sp macro="" textlink="">
      <xdr:nvSpPr>
        <xdr:cNvPr id="3" name="TekstniOkvir 2"/>
        <xdr:cNvSpPr txBox="1"/>
      </xdr:nvSpPr>
      <xdr:spPr>
        <a:xfrm>
          <a:off x="101536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184731" cy="264560"/>
    <xdr:sp macro="" textlink="">
      <xdr:nvSpPr>
        <xdr:cNvPr id="4" name="TekstniOkvir 3"/>
        <xdr:cNvSpPr txBox="1"/>
      </xdr:nvSpPr>
      <xdr:spPr>
        <a:xfrm>
          <a:off x="10153650" y="20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13</xdr:col>
      <xdr:colOff>0</xdr:colOff>
      <xdr:row>1</xdr:row>
      <xdr:rowOff>161925</xdr:rowOff>
    </xdr:from>
    <xdr:ext cx="184731" cy="264560"/>
    <xdr:sp macro="" textlink="">
      <xdr:nvSpPr>
        <xdr:cNvPr id="5" name="TekstniOkvir 4"/>
        <xdr:cNvSpPr txBox="1"/>
      </xdr:nvSpPr>
      <xdr:spPr>
        <a:xfrm>
          <a:off x="10153650" y="3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36"/>
  <sheetViews>
    <sheetView tabSelected="1" workbookViewId="0">
      <selection activeCell="G31" sqref="G31"/>
    </sheetView>
  </sheetViews>
  <sheetFormatPr defaultColWidth="11.42578125" defaultRowHeight="12.75"/>
  <cols>
    <col min="1" max="2" width="18" style="14" customWidth="1"/>
    <col min="3" max="4" width="12.5703125" style="14" customWidth="1"/>
    <col min="5" max="5" width="13.28515625" style="14" customWidth="1"/>
    <col min="6" max="6" width="12.7109375" style="14" bestFit="1" customWidth="1"/>
    <col min="7" max="7" width="15.42578125" style="14" customWidth="1"/>
    <col min="8" max="8" width="11.42578125" style="14" customWidth="1"/>
    <col min="9" max="9" width="11.42578125" style="15" customWidth="1"/>
    <col min="10" max="10" width="11.7109375" style="5" bestFit="1" customWidth="1"/>
    <col min="11" max="11" width="10.42578125" style="5" customWidth="1"/>
    <col min="12" max="13" width="12.85546875" style="5" bestFit="1" customWidth="1"/>
    <col min="14" max="14" width="12.7109375" style="5" bestFit="1" customWidth="1"/>
    <col min="15" max="16384" width="11.42578125" style="5"/>
  </cols>
  <sheetData>
    <row r="1" spans="1:14" ht="16.5" thickBot="1">
      <c r="A1" s="14" t="s">
        <v>147</v>
      </c>
      <c r="C1" s="4"/>
      <c r="D1" s="4"/>
      <c r="E1" s="4"/>
      <c r="F1" s="16"/>
      <c r="G1" s="16"/>
      <c r="H1" s="2"/>
      <c r="I1" s="2"/>
      <c r="J1" s="2"/>
      <c r="K1" s="3"/>
      <c r="L1" s="3"/>
    </row>
    <row r="2" spans="1:14" ht="16.5" customHeight="1" thickBot="1">
      <c r="A2" s="318" t="s">
        <v>220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20"/>
      <c r="M2" s="53"/>
    </row>
    <row r="3" spans="1:14" ht="13.5" thickBot="1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8" t="s">
        <v>126</v>
      </c>
      <c r="M3" s="54"/>
    </row>
    <row r="4" spans="1:14" ht="26.25" customHeight="1" thickBot="1">
      <c r="A4" s="33" t="s">
        <v>127</v>
      </c>
      <c r="B4" s="326" t="s">
        <v>221</v>
      </c>
      <c r="C4" s="321" t="s">
        <v>219</v>
      </c>
      <c r="D4" s="322"/>
      <c r="E4" s="322"/>
      <c r="F4" s="322"/>
      <c r="G4" s="322"/>
      <c r="H4" s="322"/>
      <c r="I4" s="322"/>
      <c r="J4" s="322"/>
      <c r="K4" s="322"/>
      <c r="L4" s="323"/>
      <c r="M4" s="55"/>
    </row>
    <row r="5" spans="1:14" ht="127.5" customHeight="1" thickBot="1">
      <c r="A5" s="34" t="s">
        <v>128</v>
      </c>
      <c r="B5" s="327"/>
      <c r="C5" s="67" t="s">
        <v>140</v>
      </c>
      <c r="D5" s="68" t="s">
        <v>168</v>
      </c>
      <c r="E5" s="9" t="s">
        <v>141</v>
      </c>
      <c r="F5" s="10" t="s">
        <v>142</v>
      </c>
      <c r="G5" s="10" t="s">
        <v>143</v>
      </c>
      <c r="H5" s="10" t="s">
        <v>144</v>
      </c>
      <c r="I5" s="10" t="s">
        <v>145</v>
      </c>
      <c r="J5" s="10" t="s">
        <v>146</v>
      </c>
      <c r="K5" s="35" t="s">
        <v>191</v>
      </c>
      <c r="L5" s="36" t="s">
        <v>222</v>
      </c>
      <c r="M5" s="182" t="s">
        <v>169</v>
      </c>
      <c r="N5" s="192" t="s">
        <v>182</v>
      </c>
    </row>
    <row r="6" spans="1:14" ht="25.5">
      <c r="A6" s="57" t="s">
        <v>129</v>
      </c>
      <c r="B6" s="69">
        <v>100000</v>
      </c>
      <c r="C6" s="70"/>
      <c r="D6" s="70"/>
      <c r="E6" s="71"/>
      <c r="F6" s="72"/>
      <c r="G6" s="72"/>
      <c r="H6" s="73">
        <v>480000</v>
      </c>
      <c r="I6" s="72"/>
      <c r="J6" s="72"/>
      <c r="K6" s="74"/>
      <c r="L6" s="75">
        <f t="shared" ref="L6:L22" si="0">SUM(C6:K6)</f>
        <v>480000</v>
      </c>
      <c r="M6" s="189">
        <f t="shared" ref="M6:M23" si="1">L6-B6</f>
        <v>380000</v>
      </c>
      <c r="N6" s="193">
        <f>L6/B6*100</f>
        <v>480</v>
      </c>
    </row>
    <row r="7" spans="1:14" ht="51">
      <c r="A7" s="58" t="s">
        <v>162</v>
      </c>
      <c r="B7" s="69">
        <v>1000000</v>
      </c>
      <c r="C7" s="70"/>
      <c r="D7" s="70"/>
      <c r="E7" s="76"/>
      <c r="F7" s="77"/>
      <c r="G7" s="77"/>
      <c r="H7" s="78">
        <v>1000000</v>
      </c>
      <c r="I7" s="77"/>
      <c r="J7" s="77"/>
      <c r="K7" s="79"/>
      <c r="L7" s="75">
        <f t="shared" si="0"/>
        <v>1000000</v>
      </c>
      <c r="M7" s="189">
        <f t="shared" si="1"/>
        <v>0</v>
      </c>
      <c r="N7" s="193">
        <f t="shared" ref="N7:N23" si="2">L7/B7*100</f>
        <v>100</v>
      </c>
    </row>
    <row r="8" spans="1:14" ht="25.5">
      <c r="A8" s="59" t="s">
        <v>171</v>
      </c>
      <c r="B8" s="80">
        <v>5000</v>
      </c>
      <c r="C8" s="81"/>
      <c r="D8" s="82"/>
      <c r="E8" s="83"/>
      <c r="F8" s="84">
        <v>5000</v>
      </c>
      <c r="G8" s="78"/>
      <c r="H8" s="78"/>
      <c r="I8" s="78"/>
      <c r="J8" s="78"/>
      <c r="K8" s="85"/>
      <c r="L8" s="86">
        <f t="shared" si="0"/>
        <v>5000</v>
      </c>
      <c r="M8" s="189">
        <f t="shared" si="1"/>
        <v>0</v>
      </c>
      <c r="N8" s="193">
        <f t="shared" si="2"/>
        <v>100</v>
      </c>
    </row>
    <row r="9" spans="1:14" ht="25.5">
      <c r="A9" s="59" t="s">
        <v>170</v>
      </c>
      <c r="B9" s="80">
        <v>2000</v>
      </c>
      <c r="C9" s="81"/>
      <c r="D9" s="82"/>
      <c r="E9" s="83"/>
      <c r="F9" s="84">
        <v>2000</v>
      </c>
      <c r="G9" s="78"/>
      <c r="H9" s="78"/>
      <c r="I9" s="78"/>
      <c r="J9" s="78"/>
      <c r="K9" s="85"/>
      <c r="L9" s="86">
        <f t="shared" si="0"/>
        <v>2000</v>
      </c>
      <c r="M9" s="189">
        <f t="shared" si="1"/>
        <v>0</v>
      </c>
      <c r="N9" s="193"/>
    </row>
    <row r="10" spans="1:14" ht="25.5">
      <c r="A10" s="59" t="s">
        <v>130</v>
      </c>
      <c r="B10" s="80">
        <v>42000</v>
      </c>
      <c r="C10" s="81"/>
      <c r="D10" s="82"/>
      <c r="E10" s="83"/>
      <c r="F10" s="84">
        <v>42000</v>
      </c>
      <c r="G10" s="78"/>
      <c r="H10" s="78"/>
      <c r="I10" s="78"/>
      <c r="J10" s="78"/>
      <c r="K10" s="85"/>
      <c r="L10" s="86">
        <f t="shared" si="0"/>
        <v>42000</v>
      </c>
      <c r="M10" s="189">
        <f t="shared" si="1"/>
        <v>0</v>
      </c>
      <c r="N10" s="193">
        <f t="shared" si="2"/>
        <v>100</v>
      </c>
    </row>
    <row r="11" spans="1:14">
      <c r="A11" s="59" t="s">
        <v>131</v>
      </c>
      <c r="B11" s="80">
        <v>9800000</v>
      </c>
      <c r="C11" s="81"/>
      <c r="D11" s="81"/>
      <c r="E11" s="87"/>
      <c r="F11" s="88"/>
      <c r="G11" s="88">
        <v>9800000</v>
      </c>
      <c r="H11" s="88"/>
      <c r="I11" s="88"/>
      <c r="J11" s="88"/>
      <c r="K11" s="89"/>
      <c r="L11" s="86">
        <f t="shared" si="0"/>
        <v>9800000</v>
      </c>
      <c r="M11" s="189">
        <f t="shared" si="1"/>
        <v>0</v>
      </c>
      <c r="N11" s="193">
        <f t="shared" si="2"/>
        <v>100</v>
      </c>
    </row>
    <row r="12" spans="1:14">
      <c r="A12" s="59" t="s">
        <v>132</v>
      </c>
      <c r="B12" s="80">
        <v>850000</v>
      </c>
      <c r="C12" s="81"/>
      <c r="D12" s="81"/>
      <c r="E12" s="87"/>
      <c r="F12" s="88"/>
      <c r="G12" s="88"/>
      <c r="H12" s="88"/>
      <c r="I12" s="88"/>
      <c r="J12" s="88">
        <v>1090000</v>
      </c>
      <c r="K12" s="89"/>
      <c r="L12" s="86">
        <f t="shared" si="0"/>
        <v>1090000</v>
      </c>
      <c r="M12" s="189">
        <f t="shared" si="1"/>
        <v>240000</v>
      </c>
      <c r="N12" s="193">
        <f t="shared" si="2"/>
        <v>128.23529411764707</v>
      </c>
    </row>
    <row r="13" spans="1:14">
      <c r="A13" s="59" t="s">
        <v>133</v>
      </c>
      <c r="B13" s="80">
        <v>15000000</v>
      </c>
      <c r="C13" s="81"/>
      <c r="D13" s="81"/>
      <c r="E13" s="87"/>
      <c r="F13" s="88">
        <v>15500000</v>
      </c>
      <c r="G13" s="88"/>
      <c r="H13" s="88"/>
      <c r="I13" s="88"/>
      <c r="J13" s="88"/>
      <c r="K13" s="89"/>
      <c r="L13" s="86">
        <f t="shared" si="0"/>
        <v>15500000</v>
      </c>
      <c r="M13" s="189">
        <f t="shared" si="1"/>
        <v>500000</v>
      </c>
      <c r="N13" s="193">
        <f t="shared" si="2"/>
        <v>103.33333333333334</v>
      </c>
    </row>
    <row r="14" spans="1:14" ht="38.25">
      <c r="A14" s="59" t="s">
        <v>172</v>
      </c>
      <c r="B14" s="80">
        <v>300000</v>
      </c>
      <c r="C14" s="81"/>
      <c r="D14" s="81"/>
      <c r="E14" s="87"/>
      <c r="F14" s="88"/>
      <c r="G14" s="88"/>
      <c r="H14" s="88"/>
      <c r="I14" s="88">
        <v>300000</v>
      </c>
      <c r="J14" s="88"/>
      <c r="K14" s="89"/>
      <c r="L14" s="86">
        <f t="shared" si="0"/>
        <v>300000</v>
      </c>
      <c r="M14" s="189">
        <f t="shared" si="1"/>
        <v>0</v>
      </c>
      <c r="N14" s="193"/>
    </row>
    <row r="15" spans="1:14" ht="25.5">
      <c r="A15" s="59" t="s">
        <v>134</v>
      </c>
      <c r="B15" s="80">
        <v>450000</v>
      </c>
      <c r="C15" s="81"/>
      <c r="D15" s="81"/>
      <c r="E15" s="87"/>
      <c r="F15" s="88"/>
      <c r="G15" s="88"/>
      <c r="H15" s="88"/>
      <c r="I15" s="88">
        <v>450000</v>
      </c>
      <c r="J15" s="88"/>
      <c r="K15" s="89"/>
      <c r="L15" s="86">
        <f t="shared" si="0"/>
        <v>450000</v>
      </c>
      <c r="M15" s="189">
        <f t="shared" si="1"/>
        <v>0</v>
      </c>
      <c r="N15" s="193">
        <f t="shared" si="2"/>
        <v>100</v>
      </c>
    </row>
    <row r="16" spans="1:14" ht="25.5">
      <c r="A16" s="59" t="s">
        <v>139</v>
      </c>
      <c r="B16" s="80">
        <v>50000</v>
      </c>
      <c r="C16" s="81"/>
      <c r="D16" s="81"/>
      <c r="E16" s="87"/>
      <c r="F16" s="88"/>
      <c r="G16" s="88"/>
      <c r="H16" s="88"/>
      <c r="I16" s="88">
        <v>50000</v>
      </c>
      <c r="J16" s="88"/>
      <c r="K16" s="89"/>
      <c r="L16" s="86">
        <f t="shared" si="0"/>
        <v>50000</v>
      </c>
      <c r="M16" s="189">
        <f t="shared" si="1"/>
        <v>0</v>
      </c>
      <c r="N16" s="193">
        <f t="shared" si="2"/>
        <v>100</v>
      </c>
    </row>
    <row r="17" spans="1:14" ht="25.5">
      <c r="A17" s="59" t="s">
        <v>135</v>
      </c>
      <c r="B17" s="80">
        <v>2916487.5</v>
      </c>
      <c r="C17" s="90">
        <f>850000+140000+936487.5</f>
        <v>1926487.5</v>
      </c>
      <c r="D17" s="90">
        <v>990000</v>
      </c>
      <c r="E17" s="87"/>
      <c r="F17" s="88"/>
      <c r="G17" s="88"/>
      <c r="H17" s="88"/>
      <c r="I17" s="88"/>
      <c r="J17" s="88"/>
      <c r="K17" s="89"/>
      <c r="L17" s="86">
        <f t="shared" si="0"/>
        <v>2916487.5</v>
      </c>
      <c r="M17" s="189">
        <f t="shared" si="1"/>
        <v>0</v>
      </c>
      <c r="N17" s="193">
        <f t="shared" si="2"/>
        <v>100</v>
      </c>
    </row>
    <row r="18" spans="1:14" ht="25.5">
      <c r="A18" s="59" t="s">
        <v>161</v>
      </c>
      <c r="B18" s="80">
        <v>4122512.5</v>
      </c>
      <c r="C18" s="90">
        <f>350000+779750-207487.5</f>
        <v>922262.5</v>
      </c>
      <c r="D18" s="90"/>
      <c r="E18" s="87">
        <v>3200250</v>
      </c>
      <c r="F18" s="88"/>
      <c r="G18" s="88"/>
      <c r="H18" s="88"/>
      <c r="I18" s="88"/>
      <c r="J18" s="88"/>
      <c r="K18" s="89"/>
      <c r="L18" s="86">
        <f t="shared" si="0"/>
        <v>4122512.5</v>
      </c>
      <c r="M18" s="189">
        <f t="shared" si="1"/>
        <v>0</v>
      </c>
      <c r="N18" s="193">
        <f t="shared" si="2"/>
        <v>100</v>
      </c>
    </row>
    <row r="19" spans="1:14" ht="51">
      <c r="A19" s="59" t="s">
        <v>154</v>
      </c>
      <c r="B19" s="80">
        <v>1049750</v>
      </c>
      <c r="C19" s="90"/>
      <c r="D19" s="90"/>
      <c r="E19" s="87">
        <v>1049750</v>
      </c>
      <c r="F19" s="88"/>
      <c r="G19" s="88"/>
      <c r="H19" s="88"/>
      <c r="I19" s="88"/>
      <c r="J19" s="88"/>
      <c r="K19" s="89"/>
      <c r="L19" s="86">
        <f t="shared" si="0"/>
        <v>1049750</v>
      </c>
      <c r="M19" s="189">
        <f t="shared" si="1"/>
        <v>0</v>
      </c>
      <c r="N19" s="193">
        <f t="shared" si="2"/>
        <v>100</v>
      </c>
    </row>
    <row r="20" spans="1:14">
      <c r="A20" s="59" t="s">
        <v>136</v>
      </c>
      <c r="B20" s="80">
        <v>47272635.509999998</v>
      </c>
      <c r="C20" s="90"/>
      <c r="D20" s="90"/>
      <c r="E20" s="88"/>
      <c r="F20" s="88"/>
      <c r="G20" s="88">
        <f>46800000-11064.49+263450+1000000-779750+903062.5-200000</f>
        <v>47975698.009999998</v>
      </c>
      <c r="H20" s="88"/>
      <c r="I20" s="88"/>
      <c r="J20" s="88"/>
      <c r="K20" s="89"/>
      <c r="L20" s="86">
        <f t="shared" si="0"/>
        <v>47975698.009999998</v>
      </c>
      <c r="M20" s="189">
        <f t="shared" si="1"/>
        <v>703062.5</v>
      </c>
      <c r="N20" s="193">
        <f t="shared" si="2"/>
        <v>101.48725048310725</v>
      </c>
    </row>
    <row r="21" spans="1:14">
      <c r="A21" s="59" t="s">
        <v>137</v>
      </c>
      <c r="B21" s="80">
        <v>200000</v>
      </c>
      <c r="C21" s="81"/>
      <c r="D21" s="81"/>
      <c r="E21" s="88"/>
      <c r="F21" s="88">
        <f>320000+200000</f>
        <v>520000</v>
      </c>
      <c r="G21" s="88"/>
      <c r="H21" s="88"/>
      <c r="I21" s="88"/>
      <c r="J21" s="88"/>
      <c r="K21" s="89"/>
      <c r="L21" s="86">
        <f t="shared" si="0"/>
        <v>520000</v>
      </c>
      <c r="M21" s="190">
        <f t="shared" si="1"/>
        <v>320000</v>
      </c>
      <c r="N21" s="193">
        <f>L21/B21*100</f>
        <v>260</v>
      </c>
    </row>
    <row r="22" spans="1:14" ht="26.25" thickBot="1">
      <c r="A22" s="163" t="s">
        <v>190</v>
      </c>
      <c r="B22" s="164">
        <v>12100</v>
      </c>
      <c r="C22" s="166"/>
      <c r="D22" s="169"/>
      <c r="E22" s="167"/>
      <c r="F22" s="168"/>
      <c r="G22" s="168"/>
      <c r="H22" s="168"/>
      <c r="I22" s="168"/>
      <c r="J22" s="168"/>
      <c r="K22" s="165">
        <v>12100</v>
      </c>
      <c r="L22" s="86">
        <f t="shared" si="0"/>
        <v>12100</v>
      </c>
      <c r="M22" s="190">
        <f t="shared" si="1"/>
        <v>0</v>
      </c>
      <c r="N22" s="194"/>
    </row>
    <row r="23" spans="1:14" ht="26.25" thickBot="1">
      <c r="A23" s="11" t="s">
        <v>138</v>
      </c>
      <c r="B23" s="261">
        <f>SUM(B6:B22)</f>
        <v>83172485.50999999</v>
      </c>
      <c r="C23" s="91">
        <f t="shared" ref="C23:J23" si="3">SUM(C6:C21)</f>
        <v>2848750</v>
      </c>
      <c r="D23" s="92">
        <f t="shared" si="3"/>
        <v>990000</v>
      </c>
      <c r="E23" s="92">
        <f t="shared" si="3"/>
        <v>4250000</v>
      </c>
      <c r="F23" s="92">
        <f t="shared" si="3"/>
        <v>16069000</v>
      </c>
      <c r="G23" s="92">
        <f t="shared" si="3"/>
        <v>57775698.009999998</v>
      </c>
      <c r="H23" s="92">
        <f t="shared" si="3"/>
        <v>1480000</v>
      </c>
      <c r="I23" s="92">
        <f t="shared" si="3"/>
        <v>800000</v>
      </c>
      <c r="J23" s="92">
        <f t="shared" si="3"/>
        <v>1090000</v>
      </c>
      <c r="K23" s="92">
        <f>SUM(K6:K22)</f>
        <v>12100</v>
      </c>
      <c r="L23" s="262">
        <f>SUM(L6:L22)</f>
        <v>85315548.00999999</v>
      </c>
      <c r="M23" s="191">
        <f t="shared" si="1"/>
        <v>2143062.5</v>
      </c>
      <c r="N23" s="195">
        <f t="shared" si="2"/>
        <v>102.57664837939986</v>
      </c>
    </row>
    <row r="24" spans="1:14" ht="27" customHeight="1" thickBot="1">
      <c r="A24" s="12" t="s">
        <v>167</v>
      </c>
      <c r="B24" s="93"/>
      <c r="C24" s="324">
        <f>SUM(C23:K23)</f>
        <v>85315548.00999999</v>
      </c>
      <c r="D24" s="324"/>
      <c r="E24" s="324"/>
      <c r="F24" s="324"/>
      <c r="G24" s="324"/>
      <c r="H24" s="324"/>
      <c r="I24" s="324"/>
      <c r="J24" s="324"/>
      <c r="K24" s="325"/>
      <c r="L24" s="94"/>
      <c r="M24" s="95"/>
    </row>
    <row r="25" spans="1:14" ht="10.5" customHeight="1" thickBot="1">
      <c r="A25" s="13"/>
      <c r="B25" s="96"/>
      <c r="C25" s="97"/>
      <c r="D25" s="97"/>
      <c r="E25" s="97"/>
      <c r="F25" s="97"/>
      <c r="G25" s="98"/>
      <c r="H25" s="98"/>
      <c r="I25" s="98"/>
      <c r="J25" s="99"/>
      <c r="K25" s="99"/>
      <c r="L25" s="98"/>
      <c r="M25" s="99"/>
    </row>
    <row r="26" spans="1:14" ht="14.1" customHeight="1" thickBot="1">
      <c r="A26" s="66" t="s">
        <v>165</v>
      </c>
      <c r="B26" s="107"/>
      <c r="C26" s="108">
        <v>201035.51</v>
      </c>
      <c r="D26" s="109"/>
      <c r="E26" s="100"/>
      <c r="F26" s="101"/>
      <c r="G26" s="64"/>
      <c r="H26" s="102"/>
      <c r="I26" s="64"/>
      <c r="J26" s="101"/>
      <c r="K26" s="103" t="s">
        <v>163</v>
      </c>
      <c r="L26" s="62">
        <f>L23</f>
        <v>85315548.00999999</v>
      </c>
      <c r="M26" s="196">
        <f>M23</f>
        <v>2143062.5</v>
      </c>
      <c r="N26" s="101"/>
    </row>
    <row r="27" spans="1:14" ht="14.1" customHeight="1">
      <c r="G27" s="64"/>
      <c r="H27" s="105"/>
      <c r="I27" s="64"/>
      <c r="J27" s="101"/>
      <c r="K27" s="106" t="s">
        <v>164</v>
      </c>
      <c r="L27" s="61">
        <f>'RASHODI REBALANS 4'!AN84</f>
        <v>85114512.5</v>
      </c>
      <c r="M27" s="197">
        <f>'RASHODI REBALANS 4'!AM84</f>
        <v>2143062.5</v>
      </c>
      <c r="N27" s="101"/>
    </row>
    <row r="28" spans="1:14" ht="14.1" customHeight="1" thickBot="1">
      <c r="A28" s="14">
        <v>67111</v>
      </c>
      <c r="B28" s="14" t="s">
        <v>198</v>
      </c>
      <c r="C28" s="201">
        <v>990000</v>
      </c>
      <c r="D28" s="14" t="s">
        <v>211</v>
      </c>
      <c r="G28" s="64"/>
      <c r="H28" s="64"/>
      <c r="I28" s="64"/>
      <c r="J28" s="101"/>
      <c r="K28" s="110" t="s">
        <v>160</v>
      </c>
      <c r="L28" s="63">
        <f>L26-L27</f>
        <v>201035.50999999046</v>
      </c>
      <c r="M28" s="198">
        <f t="shared" ref="M28" si="4">M26-M27</f>
        <v>0</v>
      </c>
      <c r="N28" s="101"/>
    </row>
    <row r="29" spans="1:14" ht="14.1" customHeight="1">
      <c r="A29" s="14">
        <v>67111</v>
      </c>
      <c r="B29" s="14" t="s">
        <v>198</v>
      </c>
      <c r="C29" s="201">
        <v>936487.5</v>
      </c>
      <c r="D29" s="14" t="s">
        <v>213</v>
      </c>
      <c r="L29" s="101"/>
      <c r="N29" s="101"/>
    </row>
    <row r="30" spans="1:14" ht="14.1" customHeight="1">
      <c r="A30" s="14">
        <v>67121</v>
      </c>
      <c r="B30" s="14" t="s">
        <v>198</v>
      </c>
      <c r="C30" s="201">
        <v>922262.5</v>
      </c>
      <c r="D30" s="14" t="s">
        <v>212</v>
      </c>
    </row>
    <row r="31" spans="1:14" ht="14.1" customHeight="1">
      <c r="A31" s="14">
        <v>67111</v>
      </c>
      <c r="B31" s="14" t="s">
        <v>199</v>
      </c>
      <c r="C31" s="201">
        <v>990000</v>
      </c>
      <c r="D31" s="14" t="s">
        <v>197</v>
      </c>
    </row>
    <row r="33" spans="2:3">
      <c r="B33" s="235"/>
    </row>
    <row r="34" spans="2:3">
      <c r="C34" s="235"/>
    </row>
    <row r="36" spans="2:3">
      <c r="C36" s="104"/>
    </row>
  </sheetData>
  <mergeCells count="4">
    <mergeCell ref="A2:L2"/>
    <mergeCell ref="C4:L4"/>
    <mergeCell ref="C24:K24"/>
    <mergeCell ref="B4:B5"/>
  </mergeCells>
  <pageMargins left="0.11811023622047245" right="0.11811023622047245" top="0.15748031496062992" bottom="0.15748031496062992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O104"/>
  <sheetViews>
    <sheetView topLeftCell="B1" zoomScale="95" zoomScaleNormal="95" workbookViewId="0">
      <selection activeCell="C14" sqref="C14"/>
    </sheetView>
  </sheetViews>
  <sheetFormatPr defaultColWidth="9.140625" defaultRowHeight="12"/>
  <cols>
    <col min="1" max="1" width="9.140625" style="1" hidden="1" customWidth="1"/>
    <col min="2" max="2" width="9.140625" style="1"/>
    <col min="3" max="3" width="32" style="1" customWidth="1"/>
    <col min="4" max="4" width="19.5703125" style="1" hidden="1" customWidth="1"/>
    <col min="5" max="6" width="16" style="1" hidden="1" customWidth="1"/>
    <col min="7" max="7" width="14.7109375" style="1" hidden="1" customWidth="1"/>
    <col min="8" max="8" width="12.7109375" style="1" hidden="1" customWidth="1"/>
    <col min="9" max="9" width="14.7109375" style="1" hidden="1" customWidth="1"/>
    <col min="10" max="10" width="16.42578125" style="1" hidden="1" customWidth="1"/>
    <col min="11" max="11" width="19.28515625" style="1" hidden="1" customWidth="1"/>
    <col min="12" max="12" width="9.140625" style="1" hidden="1" customWidth="1"/>
    <col min="13" max="14" width="16" style="1" hidden="1" customWidth="1"/>
    <col min="15" max="17" width="14.7109375" style="1" hidden="1" customWidth="1"/>
    <col min="18" max="18" width="16.42578125" style="1" hidden="1" customWidth="1"/>
    <col min="19" max="19" width="19.85546875" style="1" hidden="1" customWidth="1"/>
    <col min="20" max="20" width="9.140625" style="1" hidden="1" customWidth="1"/>
    <col min="21" max="22" width="16" style="1" hidden="1" customWidth="1"/>
    <col min="23" max="28" width="14.7109375" style="1" hidden="1" customWidth="1"/>
    <col min="29" max="29" width="16.42578125" style="1" hidden="1" customWidth="1"/>
    <col min="30" max="30" width="20.140625" style="1" customWidth="1"/>
    <col min="31" max="32" width="16" style="1" hidden="1" customWidth="1"/>
    <col min="33" max="38" width="14.7109375" style="1" hidden="1" customWidth="1"/>
    <col min="39" max="39" width="16.42578125" style="1" customWidth="1"/>
    <col min="40" max="40" width="19.85546875" style="1" customWidth="1"/>
    <col min="41" max="41" width="9.140625" style="1" customWidth="1"/>
    <col min="42" max="16384" width="9.140625" style="1"/>
  </cols>
  <sheetData>
    <row r="1" spans="1:41" ht="64.5" customHeight="1" thickBot="1">
      <c r="B1" s="358" t="s">
        <v>224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59"/>
      <c r="AL1" s="359"/>
      <c r="AM1" s="359"/>
      <c r="AN1" s="359"/>
      <c r="AO1" s="360"/>
    </row>
    <row r="2" spans="1:41" ht="25.5" hidden="1" customHeight="1" thickBot="1">
      <c r="B2" s="272" t="s">
        <v>147</v>
      </c>
      <c r="C2" s="273"/>
      <c r="D2" s="274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61" t="s">
        <v>200</v>
      </c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3" t="s">
        <v>214</v>
      </c>
      <c r="AD2" s="364"/>
      <c r="AE2" s="364"/>
      <c r="AF2" s="364"/>
      <c r="AG2" s="364"/>
      <c r="AH2" s="364"/>
      <c r="AI2" s="364"/>
      <c r="AJ2" s="364"/>
      <c r="AK2" s="364"/>
      <c r="AL2" s="365"/>
      <c r="AM2" s="362" t="s">
        <v>216</v>
      </c>
      <c r="AN2" s="362"/>
      <c r="AO2" s="366"/>
    </row>
    <row r="3" spans="1:41" ht="21" hidden="1" customHeight="1" thickBot="1">
      <c r="B3" s="367" t="s">
        <v>173</v>
      </c>
      <c r="C3" s="368"/>
      <c r="D3" s="368"/>
      <c r="E3" s="368"/>
      <c r="F3" s="368"/>
      <c r="G3" s="368"/>
      <c r="H3" s="368"/>
      <c r="I3" s="369"/>
      <c r="J3" s="32"/>
      <c r="K3" s="370" t="s">
        <v>184</v>
      </c>
      <c r="L3" s="371"/>
      <c r="M3" s="371"/>
      <c r="N3" s="371"/>
      <c r="O3" s="371"/>
      <c r="P3" s="371"/>
      <c r="Q3" s="372"/>
      <c r="R3" s="267" t="s">
        <v>160</v>
      </c>
      <c r="S3" s="267"/>
      <c r="T3" s="373"/>
      <c r="U3" s="373"/>
      <c r="V3" s="373"/>
      <c r="W3" s="373"/>
      <c r="X3" s="373"/>
      <c r="Y3" s="373"/>
      <c r="Z3" s="374"/>
      <c r="AA3" s="268"/>
      <c r="AB3" s="268"/>
      <c r="AC3" s="259" t="s">
        <v>160</v>
      </c>
      <c r="AD3" s="257"/>
      <c r="AE3" s="375"/>
      <c r="AF3" s="375"/>
      <c r="AG3" s="375"/>
      <c r="AH3" s="375"/>
      <c r="AI3" s="375"/>
      <c r="AJ3" s="376"/>
      <c r="AK3" s="270"/>
      <c r="AL3" s="271"/>
      <c r="AM3" s="267" t="s">
        <v>160</v>
      </c>
      <c r="AN3" s="267"/>
      <c r="AO3" s="269"/>
    </row>
    <row r="4" spans="1:41" ht="21" hidden="1" thickBot="1">
      <c r="B4" s="263"/>
      <c r="C4" s="264"/>
      <c r="D4" s="264"/>
      <c r="E4" s="264"/>
      <c r="F4" s="264"/>
      <c r="G4" s="264"/>
      <c r="H4" s="264"/>
      <c r="I4" s="264"/>
      <c r="J4" s="32"/>
      <c r="K4" s="265"/>
      <c r="L4" s="268"/>
      <c r="M4" s="268"/>
      <c r="N4" s="268"/>
      <c r="O4" s="268"/>
      <c r="P4" s="268"/>
      <c r="Q4" s="269"/>
      <c r="R4" s="267"/>
      <c r="S4" s="267"/>
      <c r="T4" s="268"/>
      <c r="U4" s="268"/>
      <c r="V4" s="268"/>
      <c r="W4" s="268"/>
      <c r="X4" s="268"/>
      <c r="Y4" s="268"/>
      <c r="Z4" s="268"/>
      <c r="AA4" s="268"/>
      <c r="AB4" s="268"/>
      <c r="AC4" s="266"/>
      <c r="AD4" s="267"/>
      <c r="AE4" s="270"/>
      <c r="AF4" s="270"/>
      <c r="AG4" s="270"/>
      <c r="AH4" s="270"/>
      <c r="AI4" s="270"/>
      <c r="AJ4" s="270"/>
      <c r="AK4" s="270"/>
      <c r="AL4" s="271"/>
      <c r="AM4" s="267"/>
      <c r="AN4" s="267"/>
      <c r="AO4" s="269"/>
    </row>
    <row r="5" spans="1:41" ht="21.75" customHeight="1" thickBot="1">
      <c r="B5" s="352" t="s">
        <v>124</v>
      </c>
      <c r="C5" s="352" t="s">
        <v>123</v>
      </c>
      <c r="D5" s="354" t="s">
        <v>166</v>
      </c>
      <c r="E5" s="346" t="s">
        <v>174</v>
      </c>
      <c r="F5" s="347"/>
      <c r="G5" s="348"/>
      <c r="H5" s="333" t="s">
        <v>175</v>
      </c>
      <c r="I5" s="334"/>
      <c r="J5" s="356" t="s">
        <v>181</v>
      </c>
      <c r="K5" s="345" t="s">
        <v>183</v>
      </c>
      <c r="L5" s="341" t="s">
        <v>182</v>
      </c>
      <c r="M5" s="346" t="s">
        <v>174</v>
      </c>
      <c r="N5" s="347"/>
      <c r="O5" s="348"/>
      <c r="P5" s="333" t="s">
        <v>175</v>
      </c>
      <c r="Q5" s="349"/>
      <c r="R5" s="343" t="s">
        <v>181</v>
      </c>
      <c r="S5" s="350" t="s">
        <v>201</v>
      </c>
      <c r="T5" s="341" t="s">
        <v>202</v>
      </c>
      <c r="U5" s="330" t="s">
        <v>174</v>
      </c>
      <c r="V5" s="331"/>
      <c r="W5" s="331"/>
      <c r="X5" s="332"/>
      <c r="Y5" s="333" t="s">
        <v>175</v>
      </c>
      <c r="Z5" s="334"/>
      <c r="AA5" s="335" t="s">
        <v>223</v>
      </c>
      <c r="AB5" s="342"/>
      <c r="AC5" s="343" t="s">
        <v>181</v>
      </c>
      <c r="AD5" s="345" t="s">
        <v>215</v>
      </c>
      <c r="AE5" s="330" t="s">
        <v>174</v>
      </c>
      <c r="AF5" s="331"/>
      <c r="AG5" s="331"/>
      <c r="AH5" s="332"/>
      <c r="AI5" s="333" t="s">
        <v>175</v>
      </c>
      <c r="AJ5" s="334"/>
      <c r="AK5" s="335" t="s">
        <v>207</v>
      </c>
      <c r="AL5" s="336"/>
      <c r="AM5" s="337" t="s">
        <v>181</v>
      </c>
      <c r="AN5" s="339" t="s">
        <v>217</v>
      </c>
      <c r="AO5" s="328" t="s">
        <v>218</v>
      </c>
    </row>
    <row r="6" spans="1:41" ht="94.5" customHeight="1" thickBot="1">
      <c r="A6" s="1" t="s">
        <v>125</v>
      </c>
      <c r="B6" s="353"/>
      <c r="C6" s="353"/>
      <c r="D6" s="355"/>
      <c r="E6" s="111" t="s">
        <v>176</v>
      </c>
      <c r="F6" s="112" t="s">
        <v>177</v>
      </c>
      <c r="G6" s="113" t="s">
        <v>178</v>
      </c>
      <c r="H6" s="114" t="s">
        <v>176</v>
      </c>
      <c r="I6" s="114" t="s">
        <v>178</v>
      </c>
      <c r="J6" s="357"/>
      <c r="K6" s="340"/>
      <c r="L6" s="329"/>
      <c r="M6" s="111" t="s">
        <v>176</v>
      </c>
      <c r="N6" s="112" t="s">
        <v>177</v>
      </c>
      <c r="O6" s="113" t="s">
        <v>178</v>
      </c>
      <c r="P6" s="114" t="s">
        <v>176</v>
      </c>
      <c r="Q6" s="111" t="s">
        <v>178</v>
      </c>
      <c r="R6" s="344"/>
      <c r="S6" s="351"/>
      <c r="T6" s="329"/>
      <c r="U6" s="111" t="s">
        <v>176</v>
      </c>
      <c r="V6" s="112" t="s">
        <v>177</v>
      </c>
      <c r="W6" s="113" t="s">
        <v>203</v>
      </c>
      <c r="X6" s="114" t="s">
        <v>204</v>
      </c>
      <c r="Y6" s="114" t="s">
        <v>210</v>
      </c>
      <c r="Z6" s="114" t="s">
        <v>204</v>
      </c>
      <c r="AA6" s="227" t="s">
        <v>177</v>
      </c>
      <c r="AB6" s="258" t="s">
        <v>208</v>
      </c>
      <c r="AC6" s="344"/>
      <c r="AD6" s="340"/>
      <c r="AE6" s="111" t="s">
        <v>176</v>
      </c>
      <c r="AF6" s="112" t="s">
        <v>177</v>
      </c>
      <c r="AG6" s="113" t="s">
        <v>203</v>
      </c>
      <c r="AH6" s="114" t="s">
        <v>204</v>
      </c>
      <c r="AI6" s="114" t="s">
        <v>210</v>
      </c>
      <c r="AJ6" s="114" t="s">
        <v>204</v>
      </c>
      <c r="AK6" s="227" t="s">
        <v>177</v>
      </c>
      <c r="AL6" s="228" t="s">
        <v>208</v>
      </c>
      <c r="AM6" s="338"/>
      <c r="AN6" s="340"/>
      <c r="AO6" s="329"/>
    </row>
    <row r="7" spans="1:41" ht="15.75">
      <c r="A7" s="1" t="e">
        <f>LEN(#REF!)</f>
        <v>#REF!</v>
      </c>
      <c r="B7" s="278" t="s">
        <v>122</v>
      </c>
      <c r="C7" s="279" t="s">
        <v>121</v>
      </c>
      <c r="D7" s="230">
        <f>D8+D18+D51+D59</f>
        <v>70099000</v>
      </c>
      <c r="E7" s="230">
        <f>E8+E18+E51+E59</f>
        <v>54158000</v>
      </c>
      <c r="F7" s="230">
        <f t="shared" ref="F7:S7" si="0">F8+F18+F51+F59</f>
        <v>13126000</v>
      </c>
      <c r="G7" s="230">
        <f t="shared" si="0"/>
        <v>1965000</v>
      </c>
      <c r="H7" s="230">
        <f t="shared" si="0"/>
        <v>0</v>
      </c>
      <c r="I7" s="230">
        <f t="shared" si="0"/>
        <v>850000</v>
      </c>
      <c r="J7" s="230">
        <f t="shared" si="0"/>
        <v>2563700</v>
      </c>
      <c r="K7" s="230">
        <f t="shared" si="0"/>
        <v>72662700</v>
      </c>
      <c r="L7" s="280">
        <f>K7/D7*100</f>
        <v>103.65725616627913</v>
      </c>
      <c r="M7" s="230">
        <f t="shared" si="0"/>
        <v>54413600</v>
      </c>
      <c r="N7" s="230">
        <f t="shared" si="0"/>
        <v>14407000</v>
      </c>
      <c r="O7" s="230">
        <f t="shared" si="0"/>
        <v>1862100</v>
      </c>
      <c r="P7" s="230">
        <f t="shared" si="0"/>
        <v>0</v>
      </c>
      <c r="Q7" s="231">
        <f t="shared" si="0"/>
        <v>1980000</v>
      </c>
      <c r="R7" s="230">
        <f t="shared" si="0"/>
        <v>1846000</v>
      </c>
      <c r="S7" s="281">
        <f t="shared" si="0"/>
        <v>74508700</v>
      </c>
      <c r="T7" s="280">
        <f>S7/K7*100</f>
        <v>102.54050565145529</v>
      </c>
      <c r="U7" s="230">
        <f t="shared" ref="U7:AC7" si="1">U8+U18+U51+U59</f>
        <v>54415850</v>
      </c>
      <c r="V7" s="230">
        <f t="shared" si="1"/>
        <v>14601000</v>
      </c>
      <c r="W7" s="230">
        <f t="shared" si="1"/>
        <v>2532100</v>
      </c>
      <c r="X7" s="230">
        <f t="shared" si="1"/>
        <v>990000</v>
      </c>
      <c r="Y7" s="230">
        <f t="shared" si="1"/>
        <v>779750</v>
      </c>
      <c r="Z7" s="230">
        <f t="shared" si="1"/>
        <v>990000</v>
      </c>
      <c r="AA7" s="230">
        <f t="shared" si="1"/>
        <v>20000</v>
      </c>
      <c r="AB7" s="231">
        <f t="shared" si="1"/>
        <v>180000</v>
      </c>
      <c r="AC7" s="230">
        <f t="shared" si="1"/>
        <v>936487.5</v>
      </c>
      <c r="AD7" s="281">
        <f>AD8+AD18+AD51+AD59</f>
        <v>75445187.5</v>
      </c>
      <c r="AE7" s="282">
        <f t="shared" ref="AE7:AN7" si="2">AE8+AE18+AE51+AE59</f>
        <v>54415850</v>
      </c>
      <c r="AF7" s="230">
        <f t="shared" si="2"/>
        <v>14601000</v>
      </c>
      <c r="AG7" s="230">
        <f t="shared" si="2"/>
        <v>2532100</v>
      </c>
      <c r="AH7" s="230">
        <f t="shared" si="2"/>
        <v>990000</v>
      </c>
      <c r="AI7" s="230">
        <f t="shared" si="2"/>
        <v>779750</v>
      </c>
      <c r="AJ7" s="230">
        <f t="shared" si="2"/>
        <v>990000</v>
      </c>
      <c r="AK7" s="230">
        <f t="shared" si="2"/>
        <v>20000</v>
      </c>
      <c r="AL7" s="231">
        <f t="shared" si="2"/>
        <v>180000</v>
      </c>
      <c r="AM7" s="230">
        <f t="shared" si="2"/>
        <v>2504812.5</v>
      </c>
      <c r="AN7" s="281">
        <f t="shared" si="2"/>
        <v>77950000</v>
      </c>
      <c r="AO7" s="254">
        <f t="shared" ref="AO7:AO38" si="3">AN7/AD7*100</f>
        <v>103.32004277940194</v>
      </c>
    </row>
    <row r="8" spans="1:41" ht="15.75">
      <c r="A8" s="1" t="e">
        <f>LEN(#REF!)</f>
        <v>#REF!</v>
      </c>
      <c r="B8" s="17" t="s">
        <v>120</v>
      </c>
      <c r="C8" s="115" t="s">
        <v>119</v>
      </c>
      <c r="D8" s="116">
        <f>D9+D13+D15</f>
        <v>42586000</v>
      </c>
      <c r="E8" s="116">
        <f t="shared" ref="E8:S8" si="4">E9+E13+E15</f>
        <v>33287000</v>
      </c>
      <c r="F8" s="116">
        <f t="shared" si="4"/>
        <v>7984000</v>
      </c>
      <c r="G8" s="116">
        <f t="shared" si="4"/>
        <v>1315000</v>
      </c>
      <c r="H8" s="116">
        <f t="shared" si="4"/>
        <v>0</v>
      </c>
      <c r="I8" s="116">
        <f t="shared" si="4"/>
        <v>0</v>
      </c>
      <c r="J8" s="116">
        <f t="shared" si="4"/>
        <v>0</v>
      </c>
      <c r="K8" s="116">
        <f t="shared" si="4"/>
        <v>42586000</v>
      </c>
      <c r="L8" s="186">
        <f t="shared" ref="L8:L71" si="5">K8/D8*100</f>
        <v>100</v>
      </c>
      <c r="M8" s="116">
        <f t="shared" si="4"/>
        <v>33287000</v>
      </c>
      <c r="N8" s="116">
        <f t="shared" si="4"/>
        <v>8199000</v>
      </c>
      <c r="O8" s="116">
        <f t="shared" si="4"/>
        <v>1100000</v>
      </c>
      <c r="P8" s="116">
        <f t="shared" si="4"/>
        <v>0</v>
      </c>
      <c r="Q8" s="171">
        <f t="shared" si="4"/>
        <v>0</v>
      </c>
      <c r="R8" s="116">
        <f t="shared" si="4"/>
        <v>1595000</v>
      </c>
      <c r="S8" s="207">
        <f t="shared" si="4"/>
        <v>44181000</v>
      </c>
      <c r="T8" s="186">
        <f t="shared" ref="T8:T71" si="6">S8/K8*100</f>
        <v>103.74536232564692</v>
      </c>
      <c r="U8" s="116">
        <f t="shared" ref="U8:AD8" si="7">U9+U13+U15</f>
        <v>33702000</v>
      </c>
      <c r="V8" s="116">
        <f t="shared" si="7"/>
        <v>8429000</v>
      </c>
      <c r="W8" s="116">
        <f t="shared" si="7"/>
        <v>1100000</v>
      </c>
      <c r="X8" s="116">
        <f t="shared" si="7"/>
        <v>950000</v>
      </c>
      <c r="Y8" s="116">
        <f t="shared" si="7"/>
        <v>0</v>
      </c>
      <c r="Z8" s="116">
        <f t="shared" si="7"/>
        <v>0</v>
      </c>
      <c r="AA8" s="116">
        <f t="shared" si="7"/>
        <v>0</v>
      </c>
      <c r="AB8" s="171">
        <f t="shared" si="7"/>
        <v>0</v>
      </c>
      <c r="AC8" s="116">
        <f t="shared" si="7"/>
        <v>0</v>
      </c>
      <c r="AD8" s="207">
        <f t="shared" si="7"/>
        <v>44181000</v>
      </c>
      <c r="AE8" s="237">
        <f t="shared" ref="AE8:AN8" si="8">AE9+AE13+AE15</f>
        <v>33702000</v>
      </c>
      <c r="AF8" s="116">
        <f t="shared" si="8"/>
        <v>8429000</v>
      </c>
      <c r="AG8" s="116">
        <f t="shared" si="8"/>
        <v>1100000</v>
      </c>
      <c r="AH8" s="116">
        <f t="shared" si="8"/>
        <v>950000</v>
      </c>
      <c r="AI8" s="116">
        <f t="shared" si="8"/>
        <v>0</v>
      </c>
      <c r="AJ8" s="116">
        <f t="shared" si="8"/>
        <v>0</v>
      </c>
      <c r="AK8" s="116">
        <f t="shared" si="8"/>
        <v>0</v>
      </c>
      <c r="AL8" s="171">
        <f t="shared" si="8"/>
        <v>0</v>
      </c>
      <c r="AM8" s="116">
        <f t="shared" si="8"/>
        <v>150000</v>
      </c>
      <c r="AN8" s="207">
        <f t="shared" si="8"/>
        <v>44331000</v>
      </c>
      <c r="AO8" s="275">
        <f t="shared" si="3"/>
        <v>100.33951246010729</v>
      </c>
    </row>
    <row r="9" spans="1:41" ht="12.75">
      <c r="A9" s="1" t="e">
        <f>LEN(#REF!)</f>
        <v>#REF!</v>
      </c>
      <c r="B9" s="18" t="s">
        <v>118</v>
      </c>
      <c r="C9" s="120" t="s">
        <v>117</v>
      </c>
      <c r="D9" s="121">
        <f t="shared" ref="D9:Q9" si="9">SUM(D10:D12)</f>
        <v>34722000</v>
      </c>
      <c r="E9" s="121">
        <f t="shared" si="9"/>
        <v>27052000</v>
      </c>
      <c r="F9" s="121">
        <f t="shared" si="9"/>
        <v>6483000</v>
      </c>
      <c r="G9" s="121">
        <f t="shared" si="9"/>
        <v>1187000</v>
      </c>
      <c r="H9" s="121">
        <f t="shared" si="9"/>
        <v>0</v>
      </c>
      <c r="I9" s="121">
        <f t="shared" si="9"/>
        <v>0</v>
      </c>
      <c r="J9" s="121">
        <f t="shared" si="9"/>
        <v>0</v>
      </c>
      <c r="K9" s="121">
        <f t="shared" si="9"/>
        <v>34722000</v>
      </c>
      <c r="L9" s="186">
        <f t="shared" si="5"/>
        <v>100</v>
      </c>
      <c r="M9" s="121">
        <f t="shared" si="9"/>
        <v>27052000</v>
      </c>
      <c r="N9" s="121">
        <f t="shared" si="9"/>
        <v>6698000</v>
      </c>
      <c r="O9" s="121">
        <f t="shared" si="9"/>
        <v>972000</v>
      </c>
      <c r="P9" s="121">
        <f t="shared" si="9"/>
        <v>0</v>
      </c>
      <c r="Q9" s="172">
        <f t="shared" si="9"/>
        <v>0</v>
      </c>
      <c r="R9" s="121">
        <f t="shared" ref="R9:S9" si="10">SUM(R10:R12)</f>
        <v>1240000</v>
      </c>
      <c r="S9" s="208">
        <f t="shared" si="10"/>
        <v>35962000</v>
      </c>
      <c r="T9" s="186">
        <f t="shared" si="6"/>
        <v>103.57122285582628</v>
      </c>
      <c r="U9" s="121">
        <f t="shared" ref="U9:AD9" si="11">SUM(U10:U12)</f>
        <v>27402000</v>
      </c>
      <c r="V9" s="121">
        <f t="shared" si="11"/>
        <v>6788000</v>
      </c>
      <c r="W9" s="121">
        <f t="shared" si="11"/>
        <v>972000</v>
      </c>
      <c r="X9" s="121">
        <f t="shared" si="11"/>
        <v>800000</v>
      </c>
      <c r="Y9" s="121">
        <f t="shared" si="11"/>
        <v>0</v>
      </c>
      <c r="Z9" s="121">
        <f t="shared" si="11"/>
        <v>0</v>
      </c>
      <c r="AA9" s="121">
        <f t="shared" si="11"/>
        <v>0</v>
      </c>
      <c r="AB9" s="172">
        <f t="shared" si="11"/>
        <v>0</v>
      </c>
      <c r="AC9" s="121">
        <f t="shared" si="11"/>
        <v>0</v>
      </c>
      <c r="AD9" s="208">
        <f t="shared" si="11"/>
        <v>35962000</v>
      </c>
      <c r="AE9" s="238">
        <f t="shared" ref="AE9:AN9" si="12">SUM(AE10:AE12)</f>
        <v>27402000</v>
      </c>
      <c r="AF9" s="121">
        <f t="shared" si="12"/>
        <v>6788000</v>
      </c>
      <c r="AG9" s="121">
        <f t="shared" si="12"/>
        <v>972000</v>
      </c>
      <c r="AH9" s="121">
        <f t="shared" si="12"/>
        <v>800000</v>
      </c>
      <c r="AI9" s="121">
        <f t="shared" si="12"/>
        <v>0</v>
      </c>
      <c r="AJ9" s="121">
        <f t="shared" si="12"/>
        <v>0</v>
      </c>
      <c r="AK9" s="121">
        <f t="shared" si="12"/>
        <v>0</v>
      </c>
      <c r="AL9" s="172">
        <f t="shared" si="12"/>
        <v>0</v>
      </c>
      <c r="AM9" s="121">
        <f t="shared" si="12"/>
        <v>50000</v>
      </c>
      <c r="AN9" s="208">
        <f t="shared" si="12"/>
        <v>36012000</v>
      </c>
      <c r="AO9" s="275">
        <f t="shared" si="3"/>
        <v>100.13903564874033</v>
      </c>
    </row>
    <row r="10" spans="1:41" ht="12.75">
      <c r="A10" s="1" t="e">
        <f>LEN(#REF!)</f>
        <v>#REF!</v>
      </c>
      <c r="B10" s="19" t="s">
        <v>116</v>
      </c>
      <c r="C10" s="122" t="s">
        <v>115</v>
      </c>
      <c r="D10" s="123">
        <f>29000000+300000+100000</f>
        <v>29400000</v>
      </c>
      <c r="E10" s="117">
        <f>22468000+1000000</f>
        <v>23468000</v>
      </c>
      <c r="F10" s="118">
        <v>5617000</v>
      </c>
      <c r="G10" s="117">
        <v>315000</v>
      </c>
      <c r="H10" s="119"/>
      <c r="I10" s="119"/>
      <c r="J10" s="154"/>
      <c r="K10" s="123">
        <v>29400000</v>
      </c>
      <c r="L10" s="186">
        <f t="shared" si="5"/>
        <v>100</v>
      </c>
      <c r="M10" s="117">
        <f>22468000+1000000</f>
        <v>23468000</v>
      </c>
      <c r="N10" s="118">
        <v>5832000</v>
      </c>
      <c r="O10" s="117">
        <v>100000</v>
      </c>
      <c r="P10" s="119"/>
      <c r="Q10" s="117"/>
      <c r="R10" s="154">
        <f>S10-K10</f>
        <v>1200000</v>
      </c>
      <c r="S10" s="202">
        <v>30600000</v>
      </c>
      <c r="T10" s="186">
        <f t="shared" si="6"/>
        <v>104.08163265306123</v>
      </c>
      <c r="U10" s="117">
        <f>23618000+280000</f>
        <v>23898000</v>
      </c>
      <c r="V10" s="118">
        <v>5882000</v>
      </c>
      <c r="W10" s="117">
        <v>100000</v>
      </c>
      <c r="X10" s="119">
        <v>720000</v>
      </c>
      <c r="Y10" s="119"/>
      <c r="Z10" s="119"/>
      <c r="AA10" s="223"/>
      <c r="AB10" s="224"/>
      <c r="AC10" s="154"/>
      <c r="AD10" s="205">
        <v>30600000</v>
      </c>
      <c r="AE10" s="239">
        <f>23618000+280000</f>
        <v>23898000</v>
      </c>
      <c r="AF10" s="118">
        <v>5882000</v>
      </c>
      <c r="AG10" s="117">
        <v>100000</v>
      </c>
      <c r="AH10" s="119">
        <v>720000</v>
      </c>
      <c r="AI10" s="119"/>
      <c r="AJ10" s="119"/>
      <c r="AK10" s="223"/>
      <c r="AL10" s="224"/>
      <c r="AM10" s="154"/>
      <c r="AN10" s="205">
        <v>30600000</v>
      </c>
      <c r="AO10" s="275">
        <f t="shared" si="3"/>
        <v>100</v>
      </c>
    </row>
    <row r="11" spans="1:41" ht="12.75">
      <c r="A11" s="1" t="e">
        <f>LEN(#REF!)</f>
        <v>#REF!</v>
      </c>
      <c r="B11" s="19" t="s">
        <v>114</v>
      </c>
      <c r="C11" s="122" t="s">
        <v>113</v>
      </c>
      <c r="D11" s="123">
        <f>890000+872000</f>
        <v>1762000</v>
      </c>
      <c r="E11" s="117">
        <v>712000</v>
      </c>
      <c r="F11" s="118">
        <v>178000</v>
      </c>
      <c r="G11" s="117">
        <v>872000</v>
      </c>
      <c r="H11" s="119"/>
      <c r="I11" s="119"/>
      <c r="J11" s="154"/>
      <c r="K11" s="123">
        <v>1762000</v>
      </c>
      <c r="L11" s="186">
        <f t="shared" si="5"/>
        <v>100</v>
      </c>
      <c r="M11" s="117">
        <v>712000</v>
      </c>
      <c r="N11" s="118">
        <v>178000</v>
      </c>
      <c r="O11" s="117">
        <v>872000</v>
      </c>
      <c r="P11" s="119"/>
      <c r="Q11" s="117"/>
      <c r="R11" s="154">
        <f t="shared" ref="R11:R12" si="13">S11-K11</f>
        <v>0</v>
      </c>
      <c r="S11" s="202">
        <v>1762000</v>
      </c>
      <c r="T11" s="186">
        <f t="shared" si="6"/>
        <v>100</v>
      </c>
      <c r="U11" s="117">
        <v>712000</v>
      </c>
      <c r="V11" s="118">
        <v>178000</v>
      </c>
      <c r="W11" s="117">
        <v>872000</v>
      </c>
      <c r="X11" s="119"/>
      <c r="Y11" s="119"/>
      <c r="Z11" s="119"/>
      <c r="AA11" s="223"/>
      <c r="AB11" s="224"/>
      <c r="AC11" s="154"/>
      <c r="AD11" s="205">
        <v>1762000</v>
      </c>
      <c r="AE11" s="239">
        <v>712000</v>
      </c>
      <c r="AF11" s="118">
        <v>178000</v>
      </c>
      <c r="AG11" s="117">
        <v>872000</v>
      </c>
      <c r="AH11" s="119"/>
      <c r="AI11" s="119"/>
      <c r="AJ11" s="119"/>
      <c r="AK11" s="223"/>
      <c r="AL11" s="224"/>
      <c r="AM11" s="154"/>
      <c r="AN11" s="205">
        <v>1762000</v>
      </c>
      <c r="AO11" s="275">
        <f t="shared" si="3"/>
        <v>100</v>
      </c>
    </row>
    <row r="12" spans="1:41" ht="12.75">
      <c r="A12" s="1" t="e">
        <f>LEN(#REF!)</f>
        <v>#REF!</v>
      </c>
      <c r="B12" s="19" t="s">
        <v>112</v>
      </c>
      <c r="C12" s="122" t="s">
        <v>111</v>
      </c>
      <c r="D12" s="123">
        <v>3560000</v>
      </c>
      <c r="E12" s="117">
        <f>2752000+120000</f>
        <v>2872000</v>
      </c>
      <c r="F12" s="118">
        <v>688000</v>
      </c>
      <c r="G12" s="117"/>
      <c r="H12" s="119"/>
      <c r="I12" s="119"/>
      <c r="J12" s="154"/>
      <c r="K12" s="123">
        <v>3560000</v>
      </c>
      <c r="L12" s="186">
        <f t="shared" si="5"/>
        <v>100</v>
      </c>
      <c r="M12" s="117">
        <f>2752000+120000</f>
        <v>2872000</v>
      </c>
      <c r="N12" s="118">
        <v>688000</v>
      </c>
      <c r="O12" s="117"/>
      <c r="P12" s="119"/>
      <c r="Q12" s="117"/>
      <c r="R12" s="154">
        <f t="shared" si="13"/>
        <v>40000</v>
      </c>
      <c r="S12" s="202">
        <v>3600000</v>
      </c>
      <c r="T12" s="186">
        <f t="shared" si="6"/>
        <v>101.12359550561798</v>
      </c>
      <c r="U12" s="117">
        <f>2752000+40000</f>
        <v>2792000</v>
      </c>
      <c r="V12" s="118">
        <v>728000</v>
      </c>
      <c r="W12" s="117"/>
      <c r="X12" s="119">
        <v>80000</v>
      </c>
      <c r="Y12" s="119"/>
      <c r="Z12" s="119"/>
      <c r="AA12" s="223"/>
      <c r="AB12" s="224"/>
      <c r="AC12" s="154"/>
      <c r="AD12" s="205">
        <v>3600000</v>
      </c>
      <c r="AE12" s="239">
        <f>2752000+40000</f>
        <v>2792000</v>
      </c>
      <c r="AF12" s="118">
        <v>728000</v>
      </c>
      <c r="AG12" s="117"/>
      <c r="AH12" s="119">
        <v>80000</v>
      </c>
      <c r="AI12" s="119"/>
      <c r="AJ12" s="119"/>
      <c r="AK12" s="223"/>
      <c r="AL12" s="224"/>
      <c r="AM12" s="154">
        <v>50000</v>
      </c>
      <c r="AN12" s="205">
        <f>3600000+AM12</f>
        <v>3650000</v>
      </c>
      <c r="AO12" s="275">
        <f t="shared" si="3"/>
        <v>101.38888888888889</v>
      </c>
    </row>
    <row r="13" spans="1:41" ht="12.75">
      <c r="A13" s="1" t="e">
        <f>LEN(#REF!)</f>
        <v>#REF!</v>
      </c>
      <c r="B13" s="20">
        <v>312</v>
      </c>
      <c r="C13" s="120" t="s">
        <v>109</v>
      </c>
      <c r="D13" s="121">
        <f t="shared" ref="D13:AN13" si="14">SUM(D14)</f>
        <v>2160000</v>
      </c>
      <c r="E13" s="121">
        <f t="shared" si="14"/>
        <v>1734000</v>
      </c>
      <c r="F13" s="121">
        <f t="shared" si="14"/>
        <v>426000</v>
      </c>
      <c r="G13" s="121">
        <f t="shared" si="14"/>
        <v>0</v>
      </c>
      <c r="H13" s="121">
        <f t="shared" si="14"/>
        <v>0</v>
      </c>
      <c r="I13" s="121">
        <f t="shared" si="14"/>
        <v>0</v>
      </c>
      <c r="J13" s="121">
        <f t="shared" si="14"/>
        <v>0</v>
      </c>
      <c r="K13" s="121">
        <f t="shared" si="14"/>
        <v>2160000</v>
      </c>
      <c r="L13" s="186">
        <f t="shared" si="5"/>
        <v>100</v>
      </c>
      <c r="M13" s="121">
        <f t="shared" si="14"/>
        <v>1734000</v>
      </c>
      <c r="N13" s="121">
        <f t="shared" si="14"/>
        <v>426000</v>
      </c>
      <c r="O13" s="121">
        <f t="shared" si="14"/>
        <v>0</v>
      </c>
      <c r="P13" s="121">
        <f t="shared" si="14"/>
        <v>0</v>
      </c>
      <c r="Q13" s="172">
        <f t="shared" si="14"/>
        <v>0</v>
      </c>
      <c r="R13" s="121">
        <f t="shared" si="14"/>
        <v>40000</v>
      </c>
      <c r="S13" s="208">
        <f t="shared" si="14"/>
        <v>2200000</v>
      </c>
      <c r="T13" s="186">
        <f t="shared" si="6"/>
        <v>101.85185185185186</v>
      </c>
      <c r="U13" s="121">
        <f t="shared" si="14"/>
        <v>1714000</v>
      </c>
      <c r="V13" s="121">
        <f t="shared" si="14"/>
        <v>466000</v>
      </c>
      <c r="W13" s="121">
        <f t="shared" si="14"/>
        <v>0</v>
      </c>
      <c r="X13" s="121">
        <f t="shared" si="14"/>
        <v>20000</v>
      </c>
      <c r="Y13" s="121">
        <f t="shared" si="14"/>
        <v>0</v>
      </c>
      <c r="Z13" s="121">
        <f t="shared" si="14"/>
        <v>0</v>
      </c>
      <c r="AA13" s="121">
        <f t="shared" si="14"/>
        <v>0</v>
      </c>
      <c r="AB13" s="172">
        <f t="shared" si="14"/>
        <v>0</v>
      </c>
      <c r="AC13" s="121">
        <f t="shared" si="14"/>
        <v>0</v>
      </c>
      <c r="AD13" s="208">
        <f t="shared" si="14"/>
        <v>2200000</v>
      </c>
      <c r="AE13" s="238">
        <f t="shared" si="14"/>
        <v>1714000</v>
      </c>
      <c r="AF13" s="121">
        <f t="shared" si="14"/>
        <v>466000</v>
      </c>
      <c r="AG13" s="121">
        <f t="shared" si="14"/>
        <v>0</v>
      </c>
      <c r="AH13" s="121">
        <f t="shared" si="14"/>
        <v>20000</v>
      </c>
      <c r="AI13" s="121">
        <f t="shared" si="14"/>
        <v>0</v>
      </c>
      <c r="AJ13" s="121">
        <f t="shared" si="14"/>
        <v>0</v>
      </c>
      <c r="AK13" s="121">
        <f t="shared" si="14"/>
        <v>0</v>
      </c>
      <c r="AL13" s="172">
        <f t="shared" si="14"/>
        <v>0</v>
      </c>
      <c r="AM13" s="121">
        <f t="shared" si="14"/>
        <v>100000</v>
      </c>
      <c r="AN13" s="208">
        <f t="shared" si="14"/>
        <v>2300000</v>
      </c>
      <c r="AO13" s="275">
        <f t="shared" si="3"/>
        <v>104.54545454545455</v>
      </c>
    </row>
    <row r="14" spans="1:41" ht="12.75">
      <c r="A14" s="1" t="e">
        <f>LEN(#REF!)</f>
        <v>#REF!</v>
      </c>
      <c r="B14" s="19" t="s">
        <v>110</v>
      </c>
      <c r="C14" s="122" t="s">
        <v>109</v>
      </c>
      <c r="D14" s="123">
        <v>2160000</v>
      </c>
      <c r="E14" s="117">
        <f>1704000+30000</f>
        <v>1734000</v>
      </c>
      <c r="F14" s="118">
        <v>426000</v>
      </c>
      <c r="G14" s="117"/>
      <c r="H14" s="119"/>
      <c r="I14" s="119"/>
      <c r="J14" s="154"/>
      <c r="K14" s="123">
        <v>2160000</v>
      </c>
      <c r="L14" s="186">
        <f t="shared" si="5"/>
        <v>100</v>
      </c>
      <c r="M14" s="117">
        <f>1704000+30000</f>
        <v>1734000</v>
      </c>
      <c r="N14" s="118">
        <v>426000</v>
      </c>
      <c r="O14" s="117"/>
      <c r="P14" s="119"/>
      <c r="Q14" s="117"/>
      <c r="R14" s="154">
        <f>S14-K14</f>
        <v>40000</v>
      </c>
      <c r="S14" s="202">
        <v>2200000</v>
      </c>
      <c r="T14" s="186">
        <f t="shared" si="6"/>
        <v>101.85185185185186</v>
      </c>
      <c r="U14" s="117">
        <f>1704000+10000</f>
        <v>1714000</v>
      </c>
      <c r="V14" s="118">
        <v>466000</v>
      </c>
      <c r="W14" s="117"/>
      <c r="X14" s="119">
        <v>20000</v>
      </c>
      <c r="Y14" s="119"/>
      <c r="Z14" s="119"/>
      <c r="AA14" s="223"/>
      <c r="AB14" s="224"/>
      <c r="AC14" s="154"/>
      <c r="AD14" s="205">
        <v>2200000</v>
      </c>
      <c r="AE14" s="239">
        <f>1704000+10000</f>
        <v>1714000</v>
      </c>
      <c r="AF14" s="118">
        <v>466000</v>
      </c>
      <c r="AG14" s="117"/>
      <c r="AH14" s="119">
        <v>20000</v>
      </c>
      <c r="AI14" s="119"/>
      <c r="AJ14" s="119"/>
      <c r="AK14" s="223"/>
      <c r="AL14" s="224"/>
      <c r="AM14" s="154">
        <v>100000</v>
      </c>
      <c r="AN14" s="205">
        <f>2200000+AM14</f>
        <v>2300000</v>
      </c>
      <c r="AO14" s="275">
        <f t="shared" si="3"/>
        <v>104.54545454545455</v>
      </c>
    </row>
    <row r="15" spans="1:41" ht="12.75">
      <c r="A15" s="1" t="e">
        <f>LEN(#REF!)</f>
        <v>#REF!</v>
      </c>
      <c r="B15" s="56">
        <v>313</v>
      </c>
      <c r="C15" s="125" t="s">
        <v>108</v>
      </c>
      <c r="D15" s="121">
        <f>SUM(D16:D17)</f>
        <v>5704000</v>
      </c>
      <c r="E15" s="121">
        <f t="shared" ref="E15:S15" si="15">SUM(E16:E17)</f>
        <v>4501000</v>
      </c>
      <c r="F15" s="121">
        <f t="shared" si="15"/>
        <v>1075000</v>
      </c>
      <c r="G15" s="121">
        <f t="shared" si="15"/>
        <v>128000</v>
      </c>
      <c r="H15" s="121">
        <f t="shared" si="15"/>
        <v>0</v>
      </c>
      <c r="I15" s="121">
        <f t="shared" si="15"/>
        <v>0</v>
      </c>
      <c r="J15" s="121">
        <f t="shared" si="15"/>
        <v>0</v>
      </c>
      <c r="K15" s="121">
        <f t="shared" si="15"/>
        <v>5704000</v>
      </c>
      <c r="L15" s="186">
        <f t="shared" si="5"/>
        <v>100</v>
      </c>
      <c r="M15" s="121">
        <f t="shared" si="15"/>
        <v>4501000</v>
      </c>
      <c r="N15" s="121">
        <f t="shared" si="15"/>
        <v>1075000</v>
      </c>
      <c r="O15" s="121">
        <f t="shared" si="15"/>
        <v>128000</v>
      </c>
      <c r="P15" s="121">
        <f t="shared" si="15"/>
        <v>0</v>
      </c>
      <c r="Q15" s="172">
        <f t="shared" si="15"/>
        <v>0</v>
      </c>
      <c r="R15" s="121">
        <f t="shared" si="15"/>
        <v>315000</v>
      </c>
      <c r="S15" s="208">
        <f t="shared" si="15"/>
        <v>6019000</v>
      </c>
      <c r="T15" s="186">
        <f t="shared" si="6"/>
        <v>105.52244039270687</v>
      </c>
      <c r="U15" s="121">
        <f t="shared" ref="U15:AD15" si="16">SUM(U16:U17)</f>
        <v>4586000</v>
      </c>
      <c r="V15" s="121">
        <f t="shared" si="16"/>
        <v>1175000</v>
      </c>
      <c r="W15" s="121">
        <f t="shared" si="16"/>
        <v>128000</v>
      </c>
      <c r="X15" s="121">
        <f t="shared" si="16"/>
        <v>130000</v>
      </c>
      <c r="Y15" s="121">
        <f t="shared" si="16"/>
        <v>0</v>
      </c>
      <c r="Z15" s="121">
        <f t="shared" si="16"/>
        <v>0</v>
      </c>
      <c r="AA15" s="121">
        <f t="shared" si="16"/>
        <v>0</v>
      </c>
      <c r="AB15" s="172">
        <f t="shared" si="16"/>
        <v>0</v>
      </c>
      <c r="AC15" s="121">
        <f t="shared" si="16"/>
        <v>0</v>
      </c>
      <c r="AD15" s="208">
        <f t="shared" si="16"/>
        <v>6019000</v>
      </c>
      <c r="AE15" s="238">
        <f t="shared" ref="AE15:AN15" si="17">SUM(AE16:AE17)</f>
        <v>4586000</v>
      </c>
      <c r="AF15" s="121">
        <f t="shared" si="17"/>
        <v>1175000</v>
      </c>
      <c r="AG15" s="121">
        <f t="shared" si="17"/>
        <v>128000</v>
      </c>
      <c r="AH15" s="121">
        <f t="shared" si="17"/>
        <v>130000</v>
      </c>
      <c r="AI15" s="121">
        <f t="shared" si="17"/>
        <v>0</v>
      </c>
      <c r="AJ15" s="121">
        <f t="shared" si="17"/>
        <v>0</v>
      </c>
      <c r="AK15" s="121">
        <f t="shared" si="17"/>
        <v>0</v>
      </c>
      <c r="AL15" s="172">
        <f t="shared" si="17"/>
        <v>0</v>
      </c>
      <c r="AM15" s="121">
        <f t="shared" si="17"/>
        <v>0</v>
      </c>
      <c r="AN15" s="208">
        <f t="shared" si="17"/>
        <v>6019000</v>
      </c>
      <c r="AO15" s="275">
        <f t="shared" si="3"/>
        <v>100</v>
      </c>
    </row>
    <row r="16" spans="1:41" ht="22.5">
      <c r="B16" s="51" t="s">
        <v>107</v>
      </c>
      <c r="C16" s="126" t="s">
        <v>106</v>
      </c>
      <c r="D16" s="123">
        <f>5568750+6250+110000</f>
        <v>5685000</v>
      </c>
      <c r="E16" s="117">
        <f>4300000+200000</f>
        <v>4500000</v>
      </c>
      <c r="F16" s="118">
        <v>1075000</v>
      </c>
      <c r="G16" s="117">
        <v>110000</v>
      </c>
      <c r="H16" s="119"/>
      <c r="I16" s="119"/>
      <c r="J16" s="154"/>
      <c r="K16" s="123">
        <v>5685000</v>
      </c>
      <c r="L16" s="186">
        <f t="shared" si="5"/>
        <v>100</v>
      </c>
      <c r="M16" s="117">
        <f>4300000+200000</f>
        <v>4500000</v>
      </c>
      <c r="N16" s="118">
        <v>1075000</v>
      </c>
      <c r="O16" s="117">
        <v>110000</v>
      </c>
      <c r="P16" s="119"/>
      <c r="Q16" s="117"/>
      <c r="R16" s="154">
        <f t="shared" ref="R16:R17" si="18">S16-K16</f>
        <v>315000</v>
      </c>
      <c r="S16" s="202">
        <v>6000000</v>
      </c>
      <c r="T16" s="186">
        <f t="shared" si="6"/>
        <v>105.54089709762533</v>
      </c>
      <c r="U16" s="117">
        <f>4515000+70000</f>
        <v>4585000</v>
      </c>
      <c r="V16" s="118">
        <v>1175000</v>
      </c>
      <c r="W16" s="117">
        <v>110000</v>
      </c>
      <c r="X16" s="119">
        <v>130000</v>
      </c>
      <c r="Y16" s="119"/>
      <c r="Z16" s="119"/>
      <c r="AA16" s="223"/>
      <c r="AB16" s="224"/>
      <c r="AC16" s="154"/>
      <c r="AD16" s="205">
        <v>6000000</v>
      </c>
      <c r="AE16" s="239">
        <f>4515000+70000</f>
        <v>4585000</v>
      </c>
      <c r="AF16" s="118">
        <v>1175000</v>
      </c>
      <c r="AG16" s="117">
        <v>110000</v>
      </c>
      <c r="AH16" s="119">
        <v>130000</v>
      </c>
      <c r="AI16" s="119"/>
      <c r="AJ16" s="119"/>
      <c r="AK16" s="223"/>
      <c r="AL16" s="224"/>
      <c r="AM16" s="154"/>
      <c r="AN16" s="205">
        <v>6000000</v>
      </c>
      <c r="AO16" s="275">
        <f t="shared" si="3"/>
        <v>100</v>
      </c>
    </row>
    <row r="17" spans="1:41" ht="12.75">
      <c r="B17" s="19">
        <v>3133</v>
      </c>
      <c r="C17" s="122" t="s">
        <v>105</v>
      </c>
      <c r="D17" s="123">
        <f>1000+18000</f>
        <v>19000</v>
      </c>
      <c r="E17" s="117">
        <v>1000</v>
      </c>
      <c r="F17" s="127"/>
      <c r="G17" s="117">
        <v>18000</v>
      </c>
      <c r="H17" s="119"/>
      <c r="I17" s="119"/>
      <c r="J17" s="154"/>
      <c r="K17" s="123">
        <v>19000</v>
      </c>
      <c r="L17" s="186">
        <f t="shared" si="5"/>
        <v>100</v>
      </c>
      <c r="M17" s="117">
        <v>1000</v>
      </c>
      <c r="N17" s="127"/>
      <c r="O17" s="117">
        <v>18000</v>
      </c>
      <c r="P17" s="119"/>
      <c r="Q17" s="117"/>
      <c r="R17" s="154">
        <f t="shared" si="18"/>
        <v>0</v>
      </c>
      <c r="S17" s="202">
        <v>19000</v>
      </c>
      <c r="T17" s="186">
        <f t="shared" si="6"/>
        <v>100</v>
      </c>
      <c r="U17" s="117">
        <v>1000</v>
      </c>
      <c r="V17" s="127"/>
      <c r="W17" s="117">
        <v>18000</v>
      </c>
      <c r="X17" s="119"/>
      <c r="Y17" s="119"/>
      <c r="Z17" s="119"/>
      <c r="AA17" s="223"/>
      <c r="AB17" s="224"/>
      <c r="AC17" s="154"/>
      <c r="AD17" s="205">
        <v>19000</v>
      </c>
      <c r="AE17" s="239">
        <v>1000</v>
      </c>
      <c r="AF17" s="127"/>
      <c r="AG17" s="117">
        <v>18000</v>
      </c>
      <c r="AH17" s="119"/>
      <c r="AI17" s="119"/>
      <c r="AJ17" s="119"/>
      <c r="AK17" s="223"/>
      <c r="AL17" s="224"/>
      <c r="AM17" s="154"/>
      <c r="AN17" s="205">
        <v>19000</v>
      </c>
      <c r="AO17" s="275">
        <f t="shared" si="3"/>
        <v>100</v>
      </c>
    </row>
    <row r="18" spans="1:41" ht="15.75">
      <c r="A18" s="1" t="e">
        <f>LEN(#REF!)</f>
        <v>#REF!</v>
      </c>
      <c r="B18" s="17" t="s">
        <v>104</v>
      </c>
      <c r="C18" s="115" t="s">
        <v>103</v>
      </c>
      <c r="D18" s="116">
        <f>D19+D24+D31+D41+D43</f>
        <v>27351321</v>
      </c>
      <c r="E18" s="116">
        <f t="shared" ref="E18:S18" si="19">E19+E24+E31+E41+E43</f>
        <v>20775000</v>
      </c>
      <c r="F18" s="116">
        <f t="shared" si="19"/>
        <v>5076321</v>
      </c>
      <c r="G18" s="116">
        <f t="shared" si="19"/>
        <v>650000</v>
      </c>
      <c r="H18" s="116">
        <f t="shared" si="19"/>
        <v>0</v>
      </c>
      <c r="I18" s="116">
        <f t="shared" si="19"/>
        <v>850000</v>
      </c>
      <c r="J18" s="116">
        <f t="shared" si="19"/>
        <v>2546700</v>
      </c>
      <c r="K18" s="116">
        <f t="shared" si="19"/>
        <v>29898021</v>
      </c>
      <c r="L18" s="186">
        <f t="shared" si="5"/>
        <v>109.31106764459383</v>
      </c>
      <c r="M18" s="116">
        <f t="shared" si="19"/>
        <v>21034600</v>
      </c>
      <c r="N18" s="116">
        <f t="shared" si="19"/>
        <v>6121321</v>
      </c>
      <c r="O18" s="116">
        <f t="shared" si="19"/>
        <v>762100</v>
      </c>
      <c r="P18" s="116">
        <f t="shared" si="19"/>
        <v>0</v>
      </c>
      <c r="Q18" s="171">
        <f t="shared" si="19"/>
        <v>1980000</v>
      </c>
      <c r="R18" s="116">
        <f t="shared" si="19"/>
        <v>150000</v>
      </c>
      <c r="S18" s="207">
        <f t="shared" si="19"/>
        <v>30048021</v>
      </c>
      <c r="T18" s="186">
        <f t="shared" si="6"/>
        <v>100.50170544732711</v>
      </c>
      <c r="U18" s="116">
        <f t="shared" ref="U18:AD18" si="20">U19+U24+U31+U41+U43</f>
        <v>20543850</v>
      </c>
      <c r="V18" s="116">
        <f t="shared" si="20"/>
        <v>6062321</v>
      </c>
      <c r="W18" s="116">
        <f t="shared" si="20"/>
        <v>1432100</v>
      </c>
      <c r="X18" s="116">
        <f t="shared" si="20"/>
        <v>40000</v>
      </c>
      <c r="Y18" s="116">
        <f t="shared" si="20"/>
        <v>779750</v>
      </c>
      <c r="Z18" s="116">
        <f t="shared" si="20"/>
        <v>990000</v>
      </c>
      <c r="AA18" s="116">
        <f t="shared" si="20"/>
        <v>20000</v>
      </c>
      <c r="AB18" s="171">
        <f t="shared" si="20"/>
        <v>180000</v>
      </c>
      <c r="AC18" s="116">
        <f t="shared" si="20"/>
        <v>936487.5</v>
      </c>
      <c r="AD18" s="207">
        <f t="shared" si="20"/>
        <v>30984508.5</v>
      </c>
      <c r="AE18" s="237">
        <f t="shared" ref="AE18:AN18" si="21">AE19+AE24+AE31+AE41+AE43</f>
        <v>20543850</v>
      </c>
      <c r="AF18" s="116">
        <f t="shared" si="21"/>
        <v>6062321</v>
      </c>
      <c r="AG18" s="116">
        <f t="shared" si="21"/>
        <v>1432100</v>
      </c>
      <c r="AH18" s="116">
        <f t="shared" si="21"/>
        <v>40000</v>
      </c>
      <c r="AI18" s="116">
        <f t="shared" si="21"/>
        <v>779750</v>
      </c>
      <c r="AJ18" s="116">
        <f t="shared" si="21"/>
        <v>990000</v>
      </c>
      <c r="AK18" s="116">
        <f t="shared" si="21"/>
        <v>20000</v>
      </c>
      <c r="AL18" s="171">
        <f t="shared" si="21"/>
        <v>180000</v>
      </c>
      <c r="AM18" s="116">
        <f t="shared" si="21"/>
        <v>2339812.5</v>
      </c>
      <c r="AN18" s="207">
        <f t="shared" si="21"/>
        <v>33324321</v>
      </c>
      <c r="AO18" s="275">
        <f t="shared" si="3"/>
        <v>107.55155596545931</v>
      </c>
    </row>
    <row r="19" spans="1:41" ht="12.75">
      <c r="A19" s="1" t="e">
        <f>LEN(#REF!)</f>
        <v>#REF!</v>
      </c>
      <c r="B19" s="18" t="s">
        <v>102</v>
      </c>
      <c r="C19" s="120" t="s">
        <v>101</v>
      </c>
      <c r="D19" s="121">
        <f t="shared" ref="D19:Q19" si="22">SUM(D20:D23)</f>
        <v>1245000</v>
      </c>
      <c r="E19" s="121">
        <f t="shared" si="22"/>
        <v>983000</v>
      </c>
      <c r="F19" s="121">
        <f t="shared" si="22"/>
        <v>242000</v>
      </c>
      <c r="G19" s="121">
        <f t="shared" si="22"/>
        <v>20000</v>
      </c>
      <c r="H19" s="121">
        <f t="shared" si="22"/>
        <v>0</v>
      </c>
      <c r="I19" s="121">
        <f t="shared" si="22"/>
        <v>0</v>
      </c>
      <c r="J19" s="121">
        <f t="shared" si="22"/>
        <v>200000</v>
      </c>
      <c r="K19" s="121">
        <f t="shared" si="22"/>
        <v>1445000</v>
      </c>
      <c r="L19" s="186">
        <f t="shared" si="5"/>
        <v>116.06425702811245</v>
      </c>
      <c r="M19" s="121">
        <f t="shared" si="22"/>
        <v>1047900</v>
      </c>
      <c r="N19" s="121">
        <f t="shared" si="22"/>
        <v>360000</v>
      </c>
      <c r="O19" s="121">
        <f t="shared" si="22"/>
        <v>37100</v>
      </c>
      <c r="P19" s="121">
        <f t="shared" si="22"/>
        <v>0</v>
      </c>
      <c r="Q19" s="172">
        <f t="shared" si="22"/>
        <v>0</v>
      </c>
      <c r="R19" s="121">
        <f t="shared" ref="R19:S19" si="23">SUM(R20:R23)</f>
        <v>45000</v>
      </c>
      <c r="S19" s="208">
        <f t="shared" si="23"/>
        <v>1490000</v>
      </c>
      <c r="T19" s="186">
        <f t="shared" si="6"/>
        <v>103.11418685121107</v>
      </c>
      <c r="U19" s="121">
        <f t="shared" ref="U19:AD19" si="24">SUM(U20:U23)</f>
        <v>1087900</v>
      </c>
      <c r="V19" s="121">
        <f t="shared" si="24"/>
        <v>325000</v>
      </c>
      <c r="W19" s="121">
        <f t="shared" si="24"/>
        <v>37100</v>
      </c>
      <c r="X19" s="121">
        <f t="shared" si="24"/>
        <v>40000</v>
      </c>
      <c r="Y19" s="121">
        <f t="shared" si="24"/>
        <v>0</v>
      </c>
      <c r="Z19" s="121">
        <f t="shared" si="24"/>
        <v>0</v>
      </c>
      <c r="AA19" s="121">
        <f t="shared" si="24"/>
        <v>0</v>
      </c>
      <c r="AB19" s="172">
        <f t="shared" si="24"/>
        <v>0</v>
      </c>
      <c r="AC19" s="121">
        <f t="shared" si="24"/>
        <v>0</v>
      </c>
      <c r="AD19" s="208">
        <f t="shared" si="24"/>
        <v>1490000</v>
      </c>
      <c r="AE19" s="238">
        <f t="shared" ref="AE19:AN19" si="25">SUM(AE20:AE23)</f>
        <v>1087900</v>
      </c>
      <c r="AF19" s="121">
        <f t="shared" si="25"/>
        <v>325000</v>
      </c>
      <c r="AG19" s="121">
        <f t="shared" si="25"/>
        <v>37100</v>
      </c>
      <c r="AH19" s="121">
        <f t="shared" si="25"/>
        <v>40000</v>
      </c>
      <c r="AI19" s="121">
        <f t="shared" si="25"/>
        <v>0</v>
      </c>
      <c r="AJ19" s="121">
        <f t="shared" si="25"/>
        <v>0</v>
      </c>
      <c r="AK19" s="121">
        <f t="shared" si="25"/>
        <v>0</v>
      </c>
      <c r="AL19" s="172">
        <f t="shared" si="25"/>
        <v>0</v>
      </c>
      <c r="AM19" s="121">
        <f t="shared" si="25"/>
        <v>20000</v>
      </c>
      <c r="AN19" s="208">
        <f t="shared" si="25"/>
        <v>1510000</v>
      </c>
      <c r="AO19" s="275">
        <f t="shared" si="3"/>
        <v>101.34228187919463</v>
      </c>
    </row>
    <row r="20" spans="1:41" ht="12.75">
      <c r="A20" s="1" t="e">
        <f>LEN(#REF!)</f>
        <v>#REF!</v>
      </c>
      <c r="B20" s="19" t="s">
        <v>100</v>
      </c>
      <c r="C20" s="122" t="s">
        <v>99</v>
      </c>
      <c r="D20" s="123">
        <v>80000</v>
      </c>
      <c r="E20" s="117">
        <v>50000</v>
      </c>
      <c r="F20" s="118">
        <v>20000</v>
      </c>
      <c r="G20" s="117">
        <v>10000</v>
      </c>
      <c r="H20" s="119"/>
      <c r="I20" s="119"/>
      <c r="J20" s="154"/>
      <c r="K20" s="123">
        <v>80000</v>
      </c>
      <c r="L20" s="186">
        <f t="shared" si="5"/>
        <v>100</v>
      </c>
      <c r="M20" s="184">
        <v>41000</v>
      </c>
      <c r="N20" s="183">
        <v>20000</v>
      </c>
      <c r="O20" s="184">
        <v>19000</v>
      </c>
      <c r="P20" s="119"/>
      <c r="Q20" s="117"/>
      <c r="R20" s="154">
        <f t="shared" ref="R20:R23" si="26">S20-K20</f>
        <v>55000</v>
      </c>
      <c r="S20" s="202">
        <v>135000</v>
      </c>
      <c r="T20" s="186">
        <f t="shared" si="6"/>
        <v>168.75</v>
      </c>
      <c r="U20" s="184">
        <v>76000</v>
      </c>
      <c r="V20" s="183">
        <v>40000</v>
      </c>
      <c r="W20" s="184">
        <v>19000</v>
      </c>
      <c r="X20" s="233"/>
      <c r="Y20" s="119"/>
      <c r="Z20" s="119"/>
      <c r="AA20" s="223"/>
      <c r="AB20" s="224"/>
      <c r="AC20" s="154"/>
      <c r="AD20" s="205">
        <v>135000</v>
      </c>
      <c r="AE20" s="240">
        <v>76000</v>
      </c>
      <c r="AF20" s="183">
        <v>40000</v>
      </c>
      <c r="AG20" s="184">
        <v>19000</v>
      </c>
      <c r="AH20" s="233"/>
      <c r="AI20" s="119"/>
      <c r="AJ20" s="119"/>
      <c r="AK20" s="223"/>
      <c r="AL20" s="224"/>
      <c r="AM20" s="154">
        <v>50000</v>
      </c>
      <c r="AN20" s="205">
        <f>135000+AM20</f>
        <v>185000</v>
      </c>
      <c r="AO20" s="275">
        <f t="shared" si="3"/>
        <v>137.03703703703704</v>
      </c>
    </row>
    <row r="21" spans="1:41" ht="12.75">
      <c r="A21" s="1" t="e">
        <f>LEN(#REF!)</f>
        <v>#REF!</v>
      </c>
      <c r="B21" s="19" t="s">
        <v>98</v>
      </c>
      <c r="C21" s="122" t="s">
        <v>97</v>
      </c>
      <c r="D21" s="123">
        <v>960000</v>
      </c>
      <c r="E21" s="117">
        <f>728000+50000</f>
        <v>778000</v>
      </c>
      <c r="F21" s="118">
        <v>182000</v>
      </c>
      <c r="G21" s="117"/>
      <c r="H21" s="119"/>
      <c r="I21" s="119"/>
      <c r="J21" s="154">
        <v>200000</v>
      </c>
      <c r="K21" s="157">
        <f>960000+200000</f>
        <v>1160000</v>
      </c>
      <c r="L21" s="186">
        <f t="shared" si="5"/>
        <v>120.83333333333333</v>
      </c>
      <c r="M21" s="184">
        <f>810000+50000</f>
        <v>860000</v>
      </c>
      <c r="N21" s="183">
        <v>300000</v>
      </c>
      <c r="O21" s="184"/>
      <c r="P21" s="119"/>
      <c r="Q21" s="117"/>
      <c r="R21" s="154">
        <f t="shared" si="26"/>
        <v>40000</v>
      </c>
      <c r="S21" s="202">
        <v>1200000</v>
      </c>
      <c r="T21" s="186">
        <f t="shared" si="6"/>
        <v>103.44827586206897</v>
      </c>
      <c r="U21" s="184">
        <f>895000+10000</f>
        <v>905000</v>
      </c>
      <c r="V21" s="183">
        <v>255000</v>
      </c>
      <c r="W21" s="184"/>
      <c r="X21" s="233">
        <v>40000</v>
      </c>
      <c r="Y21" s="119"/>
      <c r="Z21" s="119"/>
      <c r="AA21" s="223"/>
      <c r="AB21" s="224"/>
      <c r="AC21" s="154"/>
      <c r="AD21" s="205">
        <v>1200000</v>
      </c>
      <c r="AE21" s="240">
        <f>895000+10000</f>
        <v>905000</v>
      </c>
      <c r="AF21" s="183">
        <v>255000</v>
      </c>
      <c r="AG21" s="184"/>
      <c r="AH21" s="233">
        <v>40000</v>
      </c>
      <c r="AI21" s="119"/>
      <c r="AJ21" s="119"/>
      <c r="AK21" s="223"/>
      <c r="AL21" s="224"/>
      <c r="AM21" s="154"/>
      <c r="AN21" s="205">
        <v>1200000</v>
      </c>
      <c r="AO21" s="275">
        <f t="shared" si="3"/>
        <v>100</v>
      </c>
    </row>
    <row r="22" spans="1:41" ht="12.75">
      <c r="A22" s="1" t="e">
        <f>LEN(#REF!)</f>
        <v>#REF!</v>
      </c>
      <c r="B22" s="19" t="s">
        <v>96</v>
      </c>
      <c r="C22" s="122" t="s">
        <v>95</v>
      </c>
      <c r="D22" s="123">
        <v>200000</v>
      </c>
      <c r="E22" s="117">
        <v>150000</v>
      </c>
      <c r="F22" s="118">
        <v>40000</v>
      </c>
      <c r="G22" s="117">
        <v>10000</v>
      </c>
      <c r="H22" s="119"/>
      <c r="I22" s="119"/>
      <c r="J22" s="154"/>
      <c r="K22" s="123">
        <v>200000</v>
      </c>
      <c r="L22" s="186">
        <f t="shared" si="5"/>
        <v>100</v>
      </c>
      <c r="M22" s="117">
        <v>141900</v>
      </c>
      <c r="N22" s="118">
        <v>40000</v>
      </c>
      <c r="O22" s="117">
        <v>18100</v>
      </c>
      <c r="P22" s="119"/>
      <c r="Q22" s="117"/>
      <c r="R22" s="154">
        <f t="shared" si="26"/>
        <v>-50000</v>
      </c>
      <c r="S22" s="209">
        <v>150000</v>
      </c>
      <c r="T22" s="186">
        <f t="shared" si="6"/>
        <v>75</v>
      </c>
      <c r="U22" s="117">
        <v>101900</v>
      </c>
      <c r="V22" s="118">
        <v>30000</v>
      </c>
      <c r="W22" s="117">
        <v>18100</v>
      </c>
      <c r="X22" s="119"/>
      <c r="Y22" s="119"/>
      <c r="Z22" s="119"/>
      <c r="AA22" s="223"/>
      <c r="AB22" s="224"/>
      <c r="AC22" s="154"/>
      <c r="AD22" s="255">
        <v>150000</v>
      </c>
      <c r="AE22" s="239">
        <v>101900</v>
      </c>
      <c r="AF22" s="118">
        <v>30000</v>
      </c>
      <c r="AG22" s="117">
        <v>18100</v>
      </c>
      <c r="AH22" s="119"/>
      <c r="AI22" s="119"/>
      <c r="AJ22" s="119"/>
      <c r="AK22" s="223"/>
      <c r="AL22" s="224"/>
      <c r="AM22" s="154">
        <v>-30000</v>
      </c>
      <c r="AN22" s="255">
        <f>150000+AM22</f>
        <v>120000</v>
      </c>
      <c r="AO22" s="275">
        <f t="shared" si="3"/>
        <v>80</v>
      </c>
    </row>
    <row r="23" spans="1:41" ht="12.75">
      <c r="A23" s="1" t="e">
        <f>LEN(#REF!)</f>
        <v>#REF!</v>
      </c>
      <c r="B23" s="19" t="s">
        <v>94</v>
      </c>
      <c r="C23" s="122" t="s">
        <v>93</v>
      </c>
      <c r="D23" s="123">
        <v>5000</v>
      </c>
      <c r="E23" s="117">
        <v>5000</v>
      </c>
      <c r="F23" s="127"/>
      <c r="G23" s="117"/>
      <c r="H23" s="119"/>
      <c r="I23" s="119"/>
      <c r="J23" s="154"/>
      <c r="K23" s="123">
        <v>5000</v>
      </c>
      <c r="L23" s="186">
        <f t="shared" si="5"/>
        <v>100</v>
      </c>
      <c r="M23" s="117">
        <v>5000</v>
      </c>
      <c r="N23" s="127"/>
      <c r="O23" s="117"/>
      <c r="P23" s="119"/>
      <c r="Q23" s="117"/>
      <c r="R23" s="154">
        <f t="shared" si="26"/>
        <v>0</v>
      </c>
      <c r="S23" s="202">
        <v>5000</v>
      </c>
      <c r="T23" s="186">
        <f t="shared" si="6"/>
        <v>100</v>
      </c>
      <c r="U23" s="117">
        <v>5000</v>
      </c>
      <c r="V23" s="127"/>
      <c r="W23" s="117"/>
      <c r="X23" s="119"/>
      <c r="Y23" s="119"/>
      <c r="Z23" s="119"/>
      <c r="AA23" s="223"/>
      <c r="AB23" s="224"/>
      <c r="AC23" s="154"/>
      <c r="AD23" s="205">
        <v>5000</v>
      </c>
      <c r="AE23" s="239">
        <v>5000</v>
      </c>
      <c r="AF23" s="127"/>
      <c r="AG23" s="117"/>
      <c r="AH23" s="119"/>
      <c r="AI23" s="119"/>
      <c r="AJ23" s="119"/>
      <c r="AK23" s="223"/>
      <c r="AL23" s="224"/>
      <c r="AM23" s="154"/>
      <c r="AN23" s="205">
        <v>5000</v>
      </c>
      <c r="AO23" s="275">
        <f t="shared" si="3"/>
        <v>100</v>
      </c>
    </row>
    <row r="24" spans="1:41" ht="12.75">
      <c r="A24" s="1" t="e">
        <f>LEN(#REF!)</f>
        <v>#REF!</v>
      </c>
      <c r="B24" s="18" t="s">
        <v>92</v>
      </c>
      <c r="C24" s="120" t="s">
        <v>91</v>
      </c>
      <c r="D24" s="121">
        <f>SUM(D25:D30)</f>
        <v>18203321</v>
      </c>
      <c r="E24" s="121">
        <f t="shared" ref="E24:S24" si="27">SUM(E25:E30)</f>
        <v>15000000</v>
      </c>
      <c r="F24" s="121">
        <f t="shared" si="27"/>
        <v>3073321</v>
      </c>
      <c r="G24" s="121">
        <f t="shared" si="27"/>
        <v>130000</v>
      </c>
      <c r="H24" s="121">
        <f t="shared" si="27"/>
        <v>0</v>
      </c>
      <c r="I24" s="121">
        <f t="shared" si="27"/>
        <v>0</v>
      </c>
      <c r="J24" s="121">
        <f t="shared" si="27"/>
        <v>880000</v>
      </c>
      <c r="K24" s="121">
        <f t="shared" si="27"/>
        <v>19083321</v>
      </c>
      <c r="L24" s="186">
        <f t="shared" si="5"/>
        <v>104.83428271137998</v>
      </c>
      <c r="M24" s="121">
        <f t="shared" si="27"/>
        <v>15218000</v>
      </c>
      <c r="N24" s="121">
        <f t="shared" si="27"/>
        <v>3750321</v>
      </c>
      <c r="O24" s="121">
        <f t="shared" si="27"/>
        <v>115000</v>
      </c>
      <c r="P24" s="121">
        <f t="shared" si="27"/>
        <v>0</v>
      </c>
      <c r="Q24" s="172">
        <f t="shared" si="27"/>
        <v>0</v>
      </c>
      <c r="R24" s="121">
        <f t="shared" si="27"/>
        <v>-761000</v>
      </c>
      <c r="S24" s="208">
        <f t="shared" si="27"/>
        <v>18322321</v>
      </c>
      <c r="T24" s="186">
        <f t="shared" si="6"/>
        <v>96.012224496983521</v>
      </c>
      <c r="U24" s="121">
        <f t="shared" ref="U24:AD24" si="28">SUM(U25:U30)</f>
        <v>13992000</v>
      </c>
      <c r="V24" s="121">
        <f t="shared" si="28"/>
        <v>3990321</v>
      </c>
      <c r="W24" s="121">
        <f t="shared" si="28"/>
        <v>335000</v>
      </c>
      <c r="X24" s="121">
        <f t="shared" si="28"/>
        <v>0</v>
      </c>
      <c r="Y24" s="121">
        <f t="shared" si="28"/>
        <v>0</v>
      </c>
      <c r="Z24" s="121">
        <f t="shared" si="28"/>
        <v>0</v>
      </c>
      <c r="AA24" s="121">
        <f t="shared" si="28"/>
        <v>1000</v>
      </c>
      <c r="AB24" s="172">
        <f t="shared" si="28"/>
        <v>4000</v>
      </c>
      <c r="AC24" s="121">
        <f t="shared" si="28"/>
        <v>0</v>
      </c>
      <c r="AD24" s="208">
        <f t="shared" si="28"/>
        <v>18322321</v>
      </c>
      <c r="AE24" s="238">
        <f t="shared" ref="AE24:AN24" si="29">SUM(AE25:AE30)</f>
        <v>13992000</v>
      </c>
      <c r="AF24" s="121">
        <f t="shared" si="29"/>
        <v>3990321</v>
      </c>
      <c r="AG24" s="121">
        <f t="shared" si="29"/>
        <v>335000</v>
      </c>
      <c r="AH24" s="121">
        <f t="shared" si="29"/>
        <v>0</v>
      </c>
      <c r="AI24" s="121">
        <f t="shared" si="29"/>
        <v>0</v>
      </c>
      <c r="AJ24" s="121">
        <f t="shared" si="29"/>
        <v>0</v>
      </c>
      <c r="AK24" s="121">
        <f t="shared" si="29"/>
        <v>1000</v>
      </c>
      <c r="AL24" s="172">
        <f t="shared" si="29"/>
        <v>4000</v>
      </c>
      <c r="AM24" s="121">
        <f t="shared" si="29"/>
        <v>50000</v>
      </c>
      <c r="AN24" s="208">
        <f t="shared" si="29"/>
        <v>18372321</v>
      </c>
      <c r="AO24" s="275">
        <f t="shared" si="3"/>
        <v>100.27289119102323</v>
      </c>
    </row>
    <row r="25" spans="1:41" ht="12.75">
      <c r="A25" s="1" t="e">
        <f>LEN(#REF!)</f>
        <v>#REF!</v>
      </c>
      <c r="B25" s="19" t="s">
        <v>90</v>
      </c>
      <c r="C25" s="122" t="s">
        <v>89</v>
      </c>
      <c r="D25" s="123">
        <v>720000</v>
      </c>
      <c r="E25" s="117">
        <v>576000</v>
      </c>
      <c r="F25" s="118">
        <v>144000</v>
      </c>
      <c r="G25" s="117"/>
      <c r="H25" s="119"/>
      <c r="I25" s="119"/>
      <c r="J25" s="154">
        <v>80000</v>
      </c>
      <c r="K25" s="157">
        <f>720000+80000</f>
        <v>800000</v>
      </c>
      <c r="L25" s="186">
        <f t="shared" si="5"/>
        <v>111.11111111111111</v>
      </c>
      <c r="M25" s="117">
        <f>576000+40000</f>
        <v>616000</v>
      </c>
      <c r="N25" s="118">
        <v>184000</v>
      </c>
      <c r="O25" s="117"/>
      <c r="P25" s="119"/>
      <c r="Q25" s="117"/>
      <c r="R25" s="154">
        <f t="shared" ref="R25:R50" si="30">S25-K25</f>
        <v>100000</v>
      </c>
      <c r="S25" s="202">
        <v>900000</v>
      </c>
      <c r="T25" s="186">
        <f t="shared" si="6"/>
        <v>112.5</v>
      </c>
      <c r="U25" s="117">
        <v>666000</v>
      </c>
      <c r="V25" s="118">
        <v>234000</v>
      </c>
      <c r="W25" s="117"/>
      <c r="X25" s="119"/>
      <c r="Y25" s="119"/>
      <c r="Z25" s="119"/>
      <c r="AA25" s="223"/>
      <c r="AB25" s="224"/>
      <c r="AC25" s="154"/>
      <c r="AD25" s="205">
        <v>900000</v>
      </c>
      <c r="AE25" s="239">
        <v>666000</v>
      </c>
      <c r="AF25" s="118">
        <v>234000</v>
      </c>
      <c r="AG25" s="117"/>
      <c r="AH25" s="119"/>
      <c r="AI25" s="119"/>
      <c r="AJ25" s="119"/>
      <c r="AK25" s="223"/>
      <c r="AL25" s="224"/>
      <c r="AM25" s="154"/>
      <c r="AN25" s="205">
        <v>900000</v>
      </c>
      <c r="AO25" s="275">
        <f t="shared" si="3"/>
        <v>100</v>
      </c>
    </row>
    <row r="26" spans="1:41" ht="12.75">
      <c r="A26" s="1" t="e">
        <f>LEN(#REF!)</f>
        <v>#REF!</v>
      </c>
      <c r="B26" s="19" t="s">
        <v>88</v>
      </c>
      <c r="C26" s="122" t="s">
        <v>87</v>
      </c>
      <c r="D26" s="203">
        <f>14700000+10321-47000+40000</f>
        <v>14703321</v>
      </c>
      <c r="E26" s="202">
        <v>12200000</v>
      </c>
      <c r="F26" s="204">
        <v>2373321</v>
      </c>
      <c r="G26" s="202">
        <v>130000</v>
      </c>
      <c r="H26" s="205"/>
      <c r="I26" s="205"/>
      <c r="J26" s="202"/>
      <c r="K26" s="203">
        <f>14703321</f>
        <v>14703321</v>
      </c>
      <c r="L26" s="206">
        <f t="shared" si="5"/>
        <v>100</v>
      </c>
      <c r="M26" s="202">
        <f>11978000-50000</f>
        <v>11928000</v>
      </c>
      <c r="N26" s="204">
        <v>2660321</v>
      </c>
      <c r="O26" s="202">
        <f>65000+50000</f>
        <v>115000</v>
      </c>
      <c r="P26" s="205"/>
      <c r="Q26" s="202"/>
      <c r="R26" s="202">
        <f t="shared" si="30"/>
        <v>-1516000</v>
      </c>
      <c r="S26" s="202">
        <f>13703321-500000-16000</f>
        <v>13187321</v>
      </c>
      <c r="T26" s="206">
        <f t="shared" si="6"/>
        <v>89.689404182905335</v>
      </c>
      <c r="U26" s="202">
        <v>10097000</v>
      </c>
      <c r="V26" s="204">
        <v>2750321</v>
      </c>
      <c r="W26" s="202">
        <v>335000</v>
      </c>
      <c r="X26" s="205"/>
      <c r="Y26" s="205"/>
      <c r="Z26" s="205"/>
      <c r="AA26" s="225">
        <v>1000</v>
      </c>
      <c r="AB26" s="226">
        <v>4000</v>
      </c>
      <c r="AC26" s="202"/>
      <c r="AD26" s="205">
        <f>13703321-500000-16000</f>
        <v>13187321</v>
      </c>
      <c r="AE26" s="241">
        <v>10097000</v>
      </c>
      <c r="AF26" s="204">
        <v>2750321</v>
      </c>
      <c r="AG26" s="202">
        <v>335000</v>
      </c>
      <c r="AH26" s="205"/>
      <c r="AI26" s="205"/>
      <c r="AJ26" s="205"/>
      <c r="AK26" s="225">
        <v>1000</v>
      </c>
      <c r="AL26" s="226">
        <v>4000</v>
      </c>
      <c r="AM26" s="202"/>
      <c r="AN26" s="205">
        <v>13187321</v>
      </c>
      <c r="AO26" s="275">
        <f t="shared" si="3"/>
        <v>100</v>
      </c>
    </row>
    <row r="27" spans="1:41" ht="12.75">
      <c r="A27" s="1" t="e">
        <f>LEN(#REF!)</f>
        <v>#REF!</v>
      </c>
      <c r="B27" s="19" t="s">
        <v>86</v>
      </c>
      <c r="C27" s="122" t="s">
        <v>85</v>
      </c>
      <c r="D27" s="123">
        <v>2200000</v>
      </c>
      <c r="E27" s="117">
        <v>1760000</v>
      </c>
      <c r="F27" s="118">
        <v>440000</v>
      </c>
      <c r="G27" s="117"/>
      <c r="H27" s="119"/>
      <c r="I27" s="119"/>
      <c r="J27" s="154">
        <v>800000</v>
      </c>
      <c r="K27" s="157">
        <f>2200000+800000</f>
        <v>3000000</v>
      </c>
      <c r="L27" s="186">
        <f t="shared" si="5"/>
        <v>136.36363636363635</v>
      </c>
      <c r="M27" s="117">
        <v>2210000</v>
      </c>
      <c r="N27" s="118">
        <v>790000</v>
      </c>
      <c r="O27" s="117"/>
      <c r="P27" s="119"/>
      <c r="Q27" s="117"/>
      <c r="R27" s="154">
        <f t="shared" si="30"/>
        <v>600000</v>
      </c>
      <c r="S27" s="202">
        <v>3600000</v>
      </c>
      <c r="T27" s="186">
        <f t="shared" si="6"/>
        <v>120</v>
      </c>
      <c r="U27" s="117">
        <v>2710000</v>
      </c>
      <c r="V27" s="118">
        <v>890000</v>
      </c>
      <c r="W27" s="117"/>
      <c r="X27" s="119"/>
      <c r="Y27" s="119"/>
      <c r="Z27" s="119"/>
      <c r="AA27" s="223"/>
      <c r="AB27" s="224"/>
      <c r="AC27" s="154"/>
      <c r="AD27" s="205">
        <v>3600000</v>
      </c>
      <c r="AE27" s="239">
        <v>2710000</v>
      </c>
      <c r="AF27" s="118">
        <v>890000</v>
      </c>
      <c r="AG27" s="117"/>
      <c r="AH27" s="119"/>
      <c r="AI27" s="119"/>
      <c r="AJ27" s="119"/>
      <c r="AK27" s="223"/>
      <c r="AL27" s="224"/>
      <c r="AM27" s="154"/>
      <c r="AN27" s="205">
        <v>3600000</v>
      </c>
      <c r="AO27" s="275">
        <f t="shared" si="3"/>
        <v>100</v>
      </c>
    </row>
    <row r="28" spans="1:41" ht="12.75">
      <c r="A28" s="1" t="e">
        <f>LEN(#REF!)</f>
        <v>#REF!</v>
      </c>
      <c r="B28" s="19" t="s">
        <v>84</v>
      </c>
      <c r="C28" s="122" t="s">
        <v>83</v>
      </c>
      <c r="D28" s="123">
        <v>300000</v>
      </c>
      <c r="E28" s="117">
        <v>240000</v>
      </c>
      <c r="F28" s="118">
        <v>60000</v>
      </c>
      <c r="G28" s="117"/>
      <c r="H28" s="119"/>
      <c r="I28" s="119"/>
      <c r="J28" s="154"/>
      <c r="K28" s="123">
        <v>300000</v>
      </c>
      <c r="L28" s="186">
        <f t="shared" si="5"/>
        <v>100</v>
      </c>
      <c r="M28" s="117">
        <v>240000</v>
      </c>
      <c r="N28" s="118">
        <v>60000</v>
      </c>
      <c r="O28" s="117"/>
      <c r="P28" s="119"/>
      <c r="Q28" s="117"/>
      <c r="R28" s="154">
        <f t="shared" si="30"/>
        <v>55000</v>
      </c>
      <c r="S28" s="202">
        <v>355000</v>
      </c>
      <c r="T28" s="186">
        <f t="shared" si="6"/>
        <v>118.33333333333333</v>
      </c>
      <c r="U28" s="117">
        <v>295000</v>
      </c>
      <c r="V28" s="118">
        <v>60000</v>
      </c>
      <c r="W28" s="117"/>
      <c r="X28" s="119"/>
      <c r="Y28" s="119"/>
      <c r="Z28" s="119"/>
      <c r="AA28" s="223"/>
      <c r="AB28" s="224"/>
      <c r="AC28" s="154"/>
      <c r="AD28" s="205">
        <v>355000</v>
      </c>
      <c r="AE28" s="239">
        <v>295000</v>
      </c>
      <c r="AF28" s="118">
        <v>60000</v>
      </c>
      <c r="AG28" s="117"/>
      <c r="AH28" s="119"/>
      <c r="AI28" s="119"/>
      <c r="AJ28" s="119"/>
      <c r="AK28" s="223"/>
      <c r="AL28" s="224"/>
      <c r="AM28" s="154"/>
      <c r="AN28" s="205">
        <v>355000</v>
      </c>
      <c r="AO28" s="275">
        <f t="shared" si="3"/>
        <v>100</v>
      </c>
    </row>
    <row r="29" spans="1:41" ht="12.75">
      <c r="A29" s="1" t="e">
        <f>LEN(#REF!)</f>
        <v>#REF!</v>
      </c>
      <c r="B29" s="19" t="s">
        <v>82</v>
      </c>
      <c r="C29" s="122" t="s">
        <v>81</v>
      </c>
      <c r="D29" s="123">
        <v>180000</v>
      </c>
      <c r="E29" s="117">
        <v>144000</v>
      </c>
      <c r="F29" s="118">
        <v>36000</v>
      </c>
      <c r="G29" s="117"/>
      <c r="H29" s="119"/>
      <c r="I29" s="119"/>
      <c r="J29" s="154"/>
      <c r="K29" s="123">
        <v>180000</v>
      </c>
      <c r="L29" s="186">
        <f t="shared" si="5"/>
        <v>100</v>
      </c>
      <c r="M29" s="117">
        <v>144000</v>
      </c>
      <c r="N29" s="118">
        <v>36000</v>
      </c>
      <c r="O29" s="117"/>
      <c r="P29" s="119"/>
      <c r="Q29" s="117"/>
      <c r="R29" s="154">
        <f t="shared" si="30"/>
        <v>0</v>
      </c>
      <c r="S29" s="202">
        <v>180000</v>
      </c>
      <c r="T29" s="186">
        <f t="shared" si="6"/>
        <v>100</v>
      </c>
      <c r="U29" s="117">
        <v>144000</v>
      </c>
      <c r="V29" s="118">
        <v>36000</v>
      </c>
      <c r="W29" s="117"/>
      <c r="X29" s="119"/>
      <c r="Y29" s="119"/>
      <c r="Z29" s="119"/>
      <c r="AA29" s="223"/>
      <c r="AB29" s="224"/>
      <c r="AC29" s="154"/>
      <c r="AD29" s="205">
        <v>180000</v>
      </c>
      <c r="AE29" s="239">
        <v>144000</v>
      </c>
      <c r="AF29" s="118">
        <v>36000</v>
      </c>
      <c r="AG29" s="117"/>
      <c r="AH29" s="119"/>
      <c r="AI29" s="119"/>
      <c r="AJ29" s="119"/>
      <c r="AK29" s="223"/>
      <c r="AL29" s="224"/>
      <c r="AM29" s="154">
        <v>25000</v>
      </c>
      <c r="AN29" s="205">
        <f>180000+AM29</f>
        <v>205000</v>
      </c>
      <c r="AO29" s="275">
        <f t="shared" si="3"/>
        <v>113.88888888888889</v>
      </c>
    </row>
    <row r="30" spans="1:41" ht="12.75">
      <c r="A30" s="1" t="e">
        <f>LEN(#REF!)</f>
        <v>#REF!</v>
      </c>
      <c r="B30" s="19" t="s">
        <v>80</v>
      </c>
      <c r="C30" s="122" t="s">
        <v>79</v>
      </c>
      <c r="D30" s="123">
        <v>100000</v>
      </c>
      <c r="E30" s="117">
        <v>80000</v>
      </c>
      <c r="F30" s="118">
        <v>20000</v>
      </c>
      <c r="G30" s="117"/>
      <c r="H30" s="119"/>
      <c r="I30" s="119"/>
      <c r="J30" s="154"/>
      <c r="K30" s="123">
        <v>100000</v>
      </c>
      <c r="L30" s="186">
        <f t="shared" si="5"/>
        <v>100</v>
      </c>
      <c r="M30" s="117">
        <v>80000</v>
      </c>
      <c r="N30" s="118">
        <v>20000</v>
      </c>
      <c r="O30" s="117"/>
      <c r="P30" s="119"/>
      <c r="Q30" s="117"/>
      <c r="R30" s="154">
        <f t="shared" si="30"/>
        <v>0</v>
      </c>
      <c r="S30" s="202">
        <v>100000</v>
      </c>
      <c r="T30" s="186">
        <f t="shared" si="6"/>
        <v>100</v>
      </c>
      <c r="U30" s="117">
        <v>80000</v>
      </c>
      <c r="V30" s="118">
        <v>20000</v>
      </c>
      <c r="W30" s="117"/>
      <c r="X30" s="119"/>
      <c r="Y30" s="119"/>
      <c r="Z30" s="119"/>
      <c r="AA30" s="223"/>
      <c r="AB30" s="224"/>
      <c r="AC30" s="154"/>
      <c r="AD30" s="205">
        <v>100000</v>
      </c>
      <c r="AE30" s="239">
        <v>80000</v>
      </c>
      <c r="AF30" s="118">
        <v>20000</v>
      </c>
      <c r="AG30" s="117"/>
      <c r="AH30" s="119"/>
      <c r="AI30" s="119"/>
      <c r="AJ30" s="119"/>
      <c r="AK30" s="223"/>
      <c r="AL30" s="224"/>
      <c r="AM30" s="154">
        <v>25000</v>
      </c>
      <c r="AN30" s="205">
        <f>100000+AM30</f>
        <v>125000</v>
      </c>
      <c r="AO30" s="275">
        <f t="shared" si="3"/>
        <v>125</v>
      </c>
    </row>
    <row r="31" spans="1:41" ht="12.75">
      <c r="A31" s="1" t="e">
        <f>LEN(#REF!)</f>
        <v>#REF!</v>
      </c>
      <c r="B31" s="18" t="s">
        <v>78</v>
      </c>
      <c r="C31" s="120" t="s">
        <v>77</v>
      </c>
      <c r="D31" s="121">
        <f t="shared" ref="D31:Q31" si="31">SUM(D32:D40)</f>
        <v>7290000</v>
      </c>
      <c r="E31" s="121">
        <f t="shared" si="31"/>
        <v>4327000</v>
      </c>
      <c r="F31" s="121">
        <f t="shared" si="31"/>
        <v>1613000</v>
      </c>
      <c r="G31" s="121">
        <f t="shared" si="31"/>
        <v>500000</v>
      </c>
      <c r="H31" s="121">
        <f t="shared" si="31"/>
        <v>0</v>
      </c>
      <c r="I31" s="121">
        <f t="shared" si="31"/>
        <v>850000</v>
      </c>
      <c r="J31" s="121">
        <f t="shared" si="31"/>
        <v>1486700</v>
      </c>
      <c r="K31" s="121">
        <f t="shared" si="31"/>
        <v>8776700</v>
      </c>
      <c r="L31" s="186">
        <f t="shared" si="5"/>
        <v>120.39368998628257</v>
      </c>
      <c r="M31" s="121">
        <f t="shared" si="31"/>
        <v>4323700</v>
      </c>
      <c r="N31" s="121">
        <f t="shared" si="31"/>
        <v>1863000</v>
      </c>
      <c r="O31" s="121">
        <f t="shared" si="31"/>
        <v>610000</v>
      </c>
      <c r="P31" s="121">
        <f t="shared" si="31"/>
        <v>0</v>
      </c>
      <c r="Q31" s="172">
        <f t="shared" si="31"/>
        <v>1980000</v>
      </c>
      <c r="R31" s="121">
        <f t="shared" ref="R31:S31" si="32">SUM(R32:R40)</f>
        <v>917000</v>
      </c>
      <c r="S31" s="208">
        <f t="shared" si="32"/>
        <v>9693700</v>
      </c>
      <c r="T31" s="186">
        <f t="shared" si="6"/>
        <v>110.44811831326125</v>
      </c>
      <c r="U31" s="121">
        <f t="shared" ref="U31:AD31" si="33">SUM(U32:U40)</f>
        <v>5088950</v>
      </c>
      <c r="V31" s="121">
        <f t="shared" si="33"/>
        <v>1610000</v>
      </c>
      <c r="W31" s="121">
        <f t="shared" si="33"/>
        <v>1060000</v>
      </c>
      <c r="X31" s="121">
        <f t="shared" si="33"/>
        <v>0</v>
      </c>
      <c r="Y31" s="121">
        <f t="shared" si="33"/>
        <v>779750</v>
      </c>
      <c r="Z31" s="121">
        <f t="shared" si="33"/>
        <v>990000</v>
      </c>
      <c r="AA31" s="121">
        <f t="shared" si="33"/>
        <v>16000</v>
      </c>
      <c r="AB31" s="172">
        <f t="shared" si="33"/>
        <v>149000</v>
      </c>
      <c r="AC31" s="121">
        <f t="shared" si="33"/>
        <v>936487.5</v>
      </c>
      <c r="AD31" s="208">
        <f t="shared" si="33"/>
        <v>10630187.5</v>
      </c>
      <c r="AE31" s="238">
        <f t="shared" ref="AE31:AN31" si="34">SUM(AE32:AE40)</f>
        <v>5088950</v>
      </c>
      <c r="AF31" s="121">
        <f t="shared" si="34"/>
        <v>1610000</v>
      </c>
      <c r="AG31" s="121">
        <f t="shared" si="34"/>
        <v>1060000</v>
      </c>
      <c r="AH31" s="121">
        <f t="shared" si="34"/>
        <v>0</v>
      </c>
      <c r="AI31" s="121">
        <f t="shared" si="34"/>
        <v>779750</v>
      </c>
      <c r="AJ31" s="121">
        <f t="shared" si="34"/>
        <v>990000</v>
      </c>
      <c r="AK31" s="121">
        <f t="shared" si="34"/>
        <v>16000</v>
      </c>
      <c r="AL31" s="172">
        <f t="shared" si="34"/>
        <v>149000</v>
      </c>
      <c r="AM31" s="121">
        <f t="shared" si="34"/>
        <v>2121812.5</v>
      </c>
      <c r="AN31" s="208">
        <f t="shared" si="34"/>
        <v>12752000</v>
      </c>
      <c r="AO31" s="275">
        <f t="shared" si="3"/>
        <v>119.96025469917629</v>
      </c>
    </row>
    <row r="32" spans="1:41" ht="12.75">
      <c r="A32" s="1" t="e">
        <f>LEN(#REF!)</f>
        <v>#REF!</v>
      </c>
      <c r="B32" s="19" t="s">
        <v>76</v>
      </c>
      <c r="C32" s="122" t="s">
        <v>75</v>
      </c>
      <c r="D32" s="123">
        <v>250000</v>
      </c>
      <c r="E32" s="117">
        <v>200000</v>
      </c>
      <c r="F32" s="118">
        <v>50000</v>
      </c>
      <c r="G32" s="117"/>
      <c r="H32" s="119"/>
      <c r="I32" s="119"/>
      <c r="J32" s="154">
        <v>40000</v>
      </c>
      <c r="K32" s="157">
        <f>250000+40000</f>
        <v>290000</v>
      </c>
      <c r="L32" s="186">
        <f t="shared" si="5"/>
        <v>115.99999999999999</v>
      </c>
      <c r="M32" s="117">
        <v>200000</v>
      </c>
      <c r="N32" s="118">
        <v>90000</v>
      </c>
      <c r="O32" s="117"/>
      <c r="P32" s="119"/>
      <c r="Q32" s="117"/>
      <c r="R32" s="154">
        <f t="shared" si="30"/>
        <v>67000</v>
      </c>
      <c r="S32" s="202">
        <v>357000</v>
      </c>
      <c r="T32" s="186">
        <f t="shared" si="6"/>
        <v>123.10344827586206</v>
      </c>
      <c r="U32" s="117">
        <v>267000</v>
      </c>
      <c r="V32" s="118">
        <v>90000</v>
      </c>
      <c r="W32" s="117"/>
      <c r="X32" s="119"/>
      <c r="Y32" s="119"/>
      <c r="Z32" s="119"/>
      <c r="AA32" s="223"/>
      <c r="AB32" s="224"/>
      <c r="AC32" s="154"/>
      <c r="AD32" s="205">
        <v>357000</v>
      </c>
      <c r="AE32" s="239">
        <v>267000</v>
      </c>
      <c r="AF32" s="118">
        <v>90000</v>
      </c>
      <c r="AG32" s="117"/>
      <c r="AH32" s="119"/>
      <c r="AI32" s="119"/>
      <c r="AJ32" s="119"/>
      <c r="AK32" s="223"/>
      <c r="AL32" s="224"/>
      <c r="AM32" s="154"/>
      <c r="AN32" s="205">
        <v>357000</v>
      </c>
      <c r="AO32" s="275">
        <f t="shared" si="3"/>
        <v>100</v>
      </c>
    </row>
    <row r="33" spans="1:41" ht="12.75">
      <c r="A33" s="1" t="e">
        <f>LEN(#REF!)</f>
        <v>#REF!</v>
      </c>
      <c r="B33" s="19" t="s">
        <v>74</v>
      </c>
      <c r="C33" s="122" t="s">
        <v>73</v>
      </c>
      <c r="D33" s="123">
        <f>2500000-20000-10000+850000</f>
        <v>3320000</v>
      </c>
      <c r="E33" s="117">
        <v>1287000</v>
      </c>
      <c r="F33" s="118">
        <v>683000</v>
      </c>
      <c r="G33" s="117">
        <v>500000</v>
      </c>
      <c r="H33" s="119"/>
      <c r="I33" s="119">
        <v>850000</v>
      </c>
      <c r="J33" s="154">
        <f>940000+14500-7800+140000</f>
        <v>1086700</v>
      </c>
      <c r="K33" s="157">
        <f>3320000+940000+14500-7800+140000</f>
        <v>4406700</v>
      </c>
      <c r="L33" s="186">
        <f t="shared" si="5"/>
        <v>132.73192771084337</v>
      </c>
      <c r="M33" s="199">
        <f>1143700</f>
        <v>1143700</v>
      </c>
      <c r="N33" s="118">
        <v>683000</v>
      </c>
      <c r="O33" s="117">
        <v>600000</v>
      </c>
      <c r="P33" s="119"/>
      <c r="Q33" s="117">
        <f>850000+990000+140000</f>
        <v>1980000</v>
      </c>
      <c r="R33" s="154">
        <f t="shared" si="30"/>
        <v>500000</v>
      </c>
      <c r="S33" s="202">
        <f>4406700+500000</f>
        <v>4906700</v>
      </c>
      <c r="T33" s="186">
        <f t="shared" si="6"/>
        <v>111.34635895341185</v>
      </c>
      <c r="U33" s="199">
        <v>1486950</v>
      </c>
      <c r="V33" s="118">
        <v>600000</v>
      </c>
      <c r="W33" s="117">
        <f>200000+850000</f>
        <v>1050000</v>
      </c>
      <c r="X33" s="119"/>
      <c r="Y33" s="119">
        <f>378000+401750</f>
        <v>779750</v>
      </c>
      <c r="Z33" s="119">
        <v>990000</v>
      </c>
      <c r="AA33" s="223"/>
      <c r="AB33" s="224"/>
      <c r="AC33" s="236">
        <v>936487.5</v>
      </c>
      <c r="AD33" s="256">
        <f>4406700+500000+AC33</f>
        <v>5843187.5</v>
      </c>
      <c r="AE33" s="242">
        <v>1486950</v>
      </c>
      <c r="AF33" s="118">
        <v>600000</v>
      </c>
      <c r="AG33" s="117">
        <f>200000+850000</f>
        <v>1050000</v>
      </c>
      <c r="AH33" s="119"/>
      <c r="AI33" s="119">
        <f>378000+401750</f>
        <v>779750</v>
      </c>
      <c r="AJ33" s="119">
        <v>990000</v>
      </c>
      <c r="AK33" s="223"/>
      <c r="AL33" s="224"/>
      <c r="AM33" s="260">
        <v>2071812.5</v>
      </c>
      <c r="AN33" s="256">
        <f>5843187.5+AM33</f>
        <v>7915000</v>
      </c>
      <c r="AO33" s="275">
        <f t="shared" si="3"/>
        <v>135.45688889839664</v>
      </c>
    </row>
    <row r="34" spans="1:41" ht="12.75">
      <c r="A34" s="1" t="e">
        <f>LEN(#REF!)</f>
        <v>#REF!</v>
      </c>
      <c r="B34" s="19" t="s">
        <v>72</v>
      </c>
      <c r="C34" s="122" t="s">
        <v>71</v>
      </c>
      <c r="D34" s="123">
        <v>350000</v>
      </c>
      <c r="E34" s="117">
        <v>150000</v>
      </c>
      <c r="F34" s="118">
        <v>200000</v>
      </c>
      <c r="G34" s="117"/>
      <c r="H34" s="119"/>
      <c r="I34" s="119"/>
      <c r="J34" s="154"/>
      <c r="K34" s="123">
        <v>350000</v>
      </c>
      <c r="L34" s="186">
        <f t="shared" si="5"/>
        <v>100</v>
      </c>
      <c r="M34" s="117">
        <v>150000</v>
      </c>
      <c r="N34" s="118">
        <v>200000</v>
      </c>
      <c r="O34" s="117"/>
      <c r="P34" s="119"/>
      <c r="Q34" s="117"/>
      <c r="R34" s="154">
        <f t="shared" si="30"/>
        <v>0</v>
      </c>
      <c r="S34" s="202">
        <v>350000</v>
      </c>
      <c r="T34" s="186">
        <f t="shared" si="6"/>
        <v>100</v>
      </c>
      <c r="U34" s="117">
        <v>150000</v>
      </c>
      <c r="V34" s="118">
        <v>150000</v>
      </c>
      <c r="W34" s="117"/>
      <c r="X34" s="119"/>
      <c r="Y34" s="119"/>
      <c r="Z34" s="119"/>
      <c r="AA34" s="223">
        <v>5000</v>
      </c>
      <c r="AB34" s="224">
        <v>45000</v>
      </c>
      <c r="AC34" s="154"/>
      <c r="AD34" s="205">
        <v>350000</v>
      </c>
      <c r="AE34" s="239">
        <v>150000</v>
      </c>
      <c r="AF34" s="118">
        <v>150000</v>
      </c>
      <c r="AG34" s="117"/>
      <c r="AH34" s="119"/>
      <c r="AI34" s="119"/>
      <c r="AJ34" s="119"/>
      <c r="AK34" s="223">
        <v>5000</v>
      </c>
      <c r="AL34" s="224">
        <v>45000</v>
      </c>
      <c r="AM34" s="154">
        <v>50000</v>
      </c>
      <c r="AN34" s="205">
        <f>350000+AM34</f>
        <v>400000</v>
      </c>
      <c r="AO34" s="275">
        <f t="shared" si="3"/>
        <v>114.28571428571428</v>
      </c>
    </row>
    <row r="35" spans="1:41" ht="12.75">
      <c r="A35" s="1" t="e">
        <f>LEN(#REF!)</f>
        <v>#REF!</v>
      </c>
      <c r="B35" s="19" t="s">
        <v>70</v>
      </c>
      <c r="C35" s="122" t="s">
        <v>69</v>
      </c>
      <c r="D35" s="123">
        <v>1000000</v>
      </c>
      <c r="E35" s="117">
        <v>800000</v>
      </c>
      <c r="F35" s="118">
        <v>200000</v>
      </c>
      <c r="G35" s="117"/>
      <c r="H35" s="119"/>
      <c r="I35" s="119"/>
      <c r="J35" s="154"/>
      <c r="K35" s="123">
        <v>1000000</v>
      </c>
      <c r="L35" s="186">
        <f t="shared" si="5"/>
        <v>100</v>
      </c>
      <c r="M35" s="117">
        <v>800000</v>
      </c>
      <c r="N35" s="118">
        <v>200000</v>
      </c>
      <c r="O35" s="117"/>
      <c r="P35" s="119"/>
      <c r="Q35" s="117"/>
      <c r="R35" s="154">
        <f t="shared" si="30"/>
        <v>200000</v>
      </c>
      <c r="S35" s="202">
        <v>1200000</v>
      </c>
      <c r="T35" s="186">
        <f t="shared" si="6"/>
        <v>120</v>
      </c>
      <c r="U35" s="117">
        <v>1000000</v>
      </c>
      <c r="V35" s="118">
        <v>200000</v>
      </c>
      <c r="W35" s="117"/>
      <c r="X35" s="119"/>
      <c r="Y35" s="119"/>
      <c r="Z35" s="119"/>
      <c r="AA35" s="223"/>
      <c r="AB35" s="224"/>
      <c r="AC35" s="154"/>
      <c r="AD35" s="205">
        <v>1200000</v>
      </c>
      <c r="AE35" s="239">
        <v>1000000</v>
      </c>
      <c r="AF35" s="118">
        <v>200000</v>
      </c>
      <c r="AG35" s="117"/>
      <c r="AH35" s="119"/>
      <c r="AI35" s="119"/>
      <c r="AJ35" s="119"/>
      <c r="AK35" s="223"/>
      <c r="AL35" s="224"/>
      <c r="AM35" s="154"/>
      <c r="AN35" s="205">
        <v>1200000</v>
      </c>
      <c r="AO35" s="275">
        <f t="shared" si="3"/>
        <v>100</v>
      </c>
    </row>
    <row r="36" spans="1:41" ht="12.75">
      <c r="A36" s="1" t="e">
        <f>LEN(#REF!)</f>
        <v>#REF!</v>
      </c>
      <c r="B36" s="19" t="s">
        <v>68</v>
      </c>
      <c r="C36" s="122" t="s">
        <v>67</v>
      </c>
      <c r="D36" s="123">
        <v>600000</v>
      </c>
      <c r="E36" s="117">
        <v>500000</v>
      </c>
      <c r="F36" s="118">
        <v>100000</v>
      </c>
      <c r="G36" s="117"/>
      <c r="H36" s="119"/>
      <c r="I36" s="119"/>
      <c r="J36" s="154">
        <v>260000</v>
      </c>
      <c r="K36" s="157">
        <f>600000+260000</f>
        <v>860000</v>
      </c>
      <c r="L36" s="186">
        <f t="shared" si="5"/>
        <v>143.33333333333334</v>
      </c>
      <c r="M36" s="117">
        <v>600000</v>
      </c>
      <c r="N36" s="118">
        <v>260000</v>
      </c>
      <c r="O36" s="117"/>
      <c r="P36" s="119"/>
      <c r="Q36" s="117"/>
      <c r="R36" s="154">
        <f t="shared" si="30"/>
        <v>-300000</v>
      </c>
      <c r="S36" s="209">
        <v>560000</v>
      </c>
      <c r="T36" s="186">
        <f t="shared" si="6"/>
        <v>65.116279069767444</v>
      </c>
      <c r="U36" s="117">
        <v>400000</v>
      </c>
      <c r="V36" s="118">
        <v>90000</v>
      </c>
      <c r="W36" s="117"/>
      <c r="X36" s="119"/>
      <c r="Y36" s="119"/>
      <c r="Z36" s="119"/>
      <c r="AA36" s="223">
        <v>5000</v>
      </c>
      <c r="AB36" s="224">
        <v>65000</v>
      </c>
      <c r="AC36" s="154"/>
      <c r="AD36" s="255">
        <v>560000</v>
      </c>
      <c r="AE36" s="239">
        <v>400000</v>
      </c>
      <c r="AF36" s="118">
        <v>90000</v>
      </c>
      <c r="AG36" s="117"/>
      <c r="AH36" s="119"/>
      <c r="AI36" s="119"/>
      <c r="AJ36" s="119"/>
      <c r="AK36" s="223">
        <v>5000</v>
      </c>
      <c r="AL36" s="224">
        <v>65000</v>
      </c>
      <c r="AM36" s="154"/>
      <c r="AN36" s="255">
        <v>560000</v>
      </c>
      <c r="AO36" s="275">
        <f t="shared" si="3"/>
        <v>100</v>
      </c>
    </row>
    <row r="37" spans="1:41" ht="12.75">
      <c r="A37" s="1" t="e">
        <f>LEN(#REF!)</f>
        <v>#REF!</v>
      </c>
      <c r="B37" s="19" t="s">
        <v>66</v>
      </c>
      <c r="C37" s="122" t="s">
        <v>65</v>
      </c>
      <c r="D37" s="123">
        <v>400000</v>
      </c>
      <c r="E37" s="117">
        <v>300000</v>
      </c>
      <c r="F37" s="118">
        <v>100000</v>
      </c>
      <c r="G37" s="117"/>
      <c r="H37" s="119"/>
      <c r="I37" s="119"/>
      <c r="J37" s="154"/>
      <c r="K37" s="123">
        <v>400000</v>
      </c>
      <c r="L37" s="186">
        <f t="shared" si="5"/>
        <v>100</v>
      </c>
      <c r="M37" s="117">
        <v>300000</v>
      </c>
      <c r="N37" s="118">
        <v>100000</v>
      </c>
      <c r="O37" s="117"/>
      <c r="P37" s="119"/>
      <c r="Q37" s="117"/>
      <c r="R37" s="154">
        <f t="shared" si="30"/>
        <v>0</v>
      </c>
      <c r="S37" s="209">
        <v>400000</v>
      </c>
      <c r="T37" s="186">
        <f t="shared" si="6"/>
        <v>100</v>
      </c>
      <c r="U37" s="117">
        <v>300000</v>
      </c>
      <c r="V37" s="118">
        <v>100000</v>
      </c>
      <c r="W37" s="117"/>
      <c r="X37" s="119"/>
      <c r="Y37" s="119"/>
      <c r="Z37" s="119"/>
      <c r="AA37" s="223"/>
      <c r="AB37" s="224"/>
      <c r="AC37" s="154"/>
      <c r="AD37" s="255">
        <v>400000</v>
      </c>
      <c r="AE37" s="239">
        <v>300000</v>
      </c>
      <c r="AF37" s="118">
        <v>100000</v>
      </c>
      <c r="AG37" s="117"/>
      <c r="AH37" s="119"/>
      <c r="AI37" s="119"/>
      <c r="AJ37" s="119"/>
      <c r="AK37" s="223"/>
      <c r="AL37" s="224"/>
      <c r="AM37" s="154"/>
      <c r="AN37" s="255">
        <v>400000</v>
      </c>
      <c r="AO37" s="275">
        <f t="shared" si="3"/>
        <v>100</v>
      </c>
    </row>
    <row r="38" spans="1:41" ht="12.75">
      <c r="A38" s="1" t="e">
        <f>LEN(#REF!)</f>
        <v>#REF!</v>
      </c>
      <c r="B38" s="19" t="s">
        <v>64</v>
      </c>
      <c r="C38" s="122" t="s">
        <v>63</v>
      </c>
      <c r="D38" s="123">
        <v>550000</v>
      </c>
      <c r="E38" s="117">
        <v>440000</v>
      </c>
      <c r="F38" s="118">
        <v>110000</v>
      </c>
      <c r="G38" s="117"/>
      <c r="H38" s="119"/>
      <c r="I38" s="119"/>
      <c r="J38" s="154"/>
      <c r="K38" s="123">
        <v>550000</v>
      </c>
      <c r="L38" s="186">
        <f t="shared" si="5"/>
        <v>100</v>
      </c>
      <c r="M38" s="117">
        <v>430000</v>
      </c>
      <c r="N38" s="118">
        <v>110000</v>
      </c>
      <c r="O38" s="117">
        <v>10000</v>
      </c>
      <c r="P38" s="119"/>
      <c r="Q38" s="117"/>
      <c r="R38" s="154">
        <f t="shared" si="30"/>
        <v>150000</v>
      </c>
      <c r="S38" s="209">
        <v>700000</v>
      </c>
      <c r="T38" s="186">
        <f t="shared" si="6"/>
        <v>127.27272727272727</v>
      </c>
      <c r="U38" s="117">
        <v>540000</v>
      </c>
      <c r="V38" s="118">
        <v>110000</v>
      </c>
      <c r="W38" s="117">
        <v>10000</v>
      </c>
      <c r="X38" s="119"/>
      <c r="Y38" s="119"/>
      <c r="Z38" s="119"/>
      <c r="AA38" s="223">
        <v>5000</v>
      </c>
      <c r="AB38" s="224">
        <v>35000</v>
      </c>
      <c r="AC38" s="154"/>
      <c r="AD38" s="255">
        <v>700000</v>
      </c>
      <c r="AE38" s="239">
        <v>540000</v>
      </c>
      <c r="AF38" s="118">
        <v>110000</v>
      </c>
      <c r="AG38" s="117">
        <v>10000</v>
      </c>
      <c r="AH38" s="119"/>
      <c r="AI38" s="119"/>
      <c r="AJ38" s="119"/>
      <c r="AK38" s="223">
        <v>5000</v>
      </c>
      <c r="AL38" s="224">
        <v>35000</v>
      </c>
      <c r="AM38" s="154"/>
      <c r="AN38" s="255">
        <v>700000</v>
      </c>
      <c r="AO38" s="275">
        <f t="shared" si="3"/>
        <v>100</v>
      </c>
    </row>
    <row r="39" spans="1:41" ht="12.75">
      <c r="A39" s="1" t="e">
        <f>LEN(#REF!)</f>
        <v>#REF!</v>
      </c>
      <c r="B39" s="19" t="s">
        <v>62</v>
      </c>
      <c r="C39" s="122" t="s">
        <v>61</v>
      </c>
      <c r="D39" s="123">
        <v>470000</v>
      </c>
      <c r="E39" s="117">
        <v>370000</v>
      </c>
      <c r="F39" s="118">
        <v>100000</v>
      </c>
      <c r="G39" s="117"/>
      <c r="H39" s="119"/>
      <c r="I39" s="119"/>
      <c r="J39" s="154"/>
      <c r="K39" s="123">
        <v>470000</v>
      </c>
      <c r="L39" s="186">
        <f t="shared" si="5"/>
        <v>100</v>
      </c>
      <c r="M39" s="117">
        <v>370000</v>
      </c>
      <c r="N39" s="118">
        <v>100000</v>
      </c>
      <c r="O39" s="117"/>
      <c r="P39" s="119"/>
      <c r="Q39" s="117"/>
      <c r="R39" s="154">
        <f t="shared" si="30"/>
        <v>0</v>
      </c>
      <c r="S39" s="209">
        <v>470000</v>
      </c>
      <c r="T39" s="186">
        <f t="shared" si="6"/>
        <v>100</v>
      </c>
      <c r="U39" s="117">
        <v>370000</v>
      </c>
      <c r="V39" s="118">
        <v>100000</v>
      </c>
      <c r="W39" s="117"/>
      <c r="X39" s="119"/>
      <c r="Y39" s="119"/>
      <c r="Z39" s="119"/>
      <c r="AA39" s="223"/>
      <c r="AB39" s="224"/>
      <c r="AC39" s="154"/>
      <c r="AD39" s="255">
        <v>470000</v>
      </c>
      <c r="AE39" s="239">
        <v>370000</v>
      </c>
      <c r="AF39" s="118">
        <v>100000</v>
      </c>
      <c r="AG39" s="117"/>
      <c r="AH39" s="119"/>
      <c r="AI39" s="119"/>
      <c r="AJ39" s="119"/>
      <c r="AK39" s="223"/>
      <c r="AL39" s="224"/>
      <c r="AM39" s="154"/>
      <c r="AN39" s="255">
        <v>470000</v>
      </c>
      <c r="AO39" s="275">
        <f t="shared" ref="AO39:AO70" si="35">AN39/AD39*100</f>
        <v>100</v>
      </c>
    </row>
    <row r="40" spans="1:41" ht="12.75">
      <c r="A40" s="1" t="e">
        <f>LEN(#REF!)</f>
        <v>#REF!</v>
      </c>
      <c r="B40" s="19" t="s">
        <v>60</v>
      </c>
      <c r="C40" s="122" t="s">
        <v>59</v>
      </c>
      <c r="D40" s="123">
        <v>350000</v>
      </c>
      <c r="E40" s="117">
        <v>280000</v>
      </c>
      <c r="F40" s="118">
        <v>70000</v>
      </c>
      <c r="G40" s="117"/>
      <c r="H40" s="119"/>
      <c r="I40" s="119"/>
      <c r="J40" s="154">
        <v>100000</v>
      </c>
      <c r="K40" s="157">
        <f>350000+100000</f>
        <v>450000</v>
      </c>
      <c r="L40" s="186">
        <f t="shared" si="5"/>
        <v>128.57142857142858</v>
      </c>
      <c r="M40" s="117">
        <f>280000+50000</f>
        <v>330000</v>
      </c>
      <c r="N40" s="118">
        <v>120000</v>
      </c>
      <c r="O40" s="117"/>
      <c r="P40" s="119"/>
      <c r="Q40" s="117"/>
      <c r="R40" s="154">
        <f t="shared" si="30"/>
        <v>300000</v>
      </c>
      <c r="S40" s="209">
        <v>750000</v>
      </c>
      <c r="T40" s="186">
        <f t="shared" si="6"/>
        <v>166.66666666666669</v>
      </c>
      <c r="U40" s="117">
        <v>575000</v>
      </c>
      <c r="V40" s="118">
        <v>170000</v>
      </c>
      <c r="W40" s="117"/>
      <c r="X40" s="119"/>
      <c r="Y40" s="119"/>
      <c r="Z40" s="119"/>
      <c r="AA40" s="223">
        <v>1000</v>
      </c>
      <c r="AB40" s="224">
        <v>4000</v>
      </c>
      <c r="AC40" s="154"/>
      <c r="AD40" s="255">
        <v>750000</v>
      </c>
      <c r="AE40" s="239">
        <v>575000</v>
      </c>
      <c r="AF40" s="118">
        <v>170000</v>
      </c>
      <c r="AG40" s="117"/>
      <c r="AH40" s="119"/>
      <c r="AI40" s="119"/>
      <c r="AJ40" s="119"/>
      <c r="AK40" s="223">
        <v>1000</v>
      </c>
      <c r="AL40" s="224">
        <v>4000</v>
      </c>
      <c r="AM40" s="154"/>
      <c r="AN40" s="255">
        <v>750000</v>
      </c>
      <c r="AO40" s="275">
        <f t="shared" si="35"/>
        <v>100</v>
      </c>
    </row>
    <row r="41" spans="1:41" ht="24">
      <c r="A41" s="1" t="e">
        <f>LEN(#REF!)</f>
        <v>#REF!</v>
      </c>
      <c r="B41" s="18" t="s">
        <v>58</v>
      </c>
      <c r="C41" s="120" t="s">
        <v>57</v>
      </c>
      <c r="D41" s="128">
        <f t="shared" ref="D41:AN41" si="36">D42</f>
        <v>100000</v>
      </c>
      <c r="E41" s="128">
        <f t="shared" si="36"/>
        <v>100000</v>
      </c>
      <c r="F41" s="128">
        <f t="shared" si="36"/>
        <v>0</v>
      </c>
      <c r="G41" s="128">
        <f t="shared" si="36"/>
        <v>0</v>
      </c>
      <c r="H41" s="128">
        <f t="shared" si="36"/>
        <v>0</v>
      </c>
      <c r="I41" s="128">
        <f t="shared" si="36"/>
        <v>0</v>
      </c>
      <c r="J41" s="128">
        <f t="shared" si="36"/>
        <v>0</v>
      </c>
      <c r="K41" s="128">
        <f t="shared" si="36"/>
        <v>100000</v>
      </c>
      <c r="L41" s="186">
        <f t="shared" si="5"/>
        <v>100</v>
      </c>
      <c r="M41" s="128">
        <f t="shared" si="36"/>
        <v>100000</v>
      </c>
      <c r="N41" s="128">
        <f t="shared" si="36"/>
        <v>0</v>
      </c>
      <c r="O41" s="128">
        <f t="shared" si="36"/>
        <v>0</v>
      </c>
      <c r="P41" s="128">
        <f t="shared" si="36"/>
        <v>0</v>
      </c>
      <c r="Q41" s="173">
        <f t="shared" si="36"/>
        <v>0</v>
      </c>
      <c r="R41" s="128">
        <f t="shared" si="36"/>
        <v>-70000</v>
      </c>
      <c r="S41" s="210">
        <f t="shared" si="36"/>
        <v>30000</v>
      </c>
      <c r="T41" s="186">
        <f t="shared" si="6"/>
        <v>30</v>
      </c>
      <c r="U41" s="128">
        <f t="shared" si="36"/>
        <v>30000</v>
      </c>
      <c r="V41" s="128">
        <f t="shared" si="36"/>
        <v>0</v>
      </c>
      <c r="W41" s="128">
        <f t="shared" si="36"/>
        <v>0</v>
      </c>
      <c r="X41" s="128">
        <f t="shared" si="36"/>
        <v>0</v>
      </c>
      <c r="Y41" s="128">
        <f t="shared" si="36"/>
        <v>0</v>
      </c>
      <c r="Z41" s="128">
        <f t="shared" si="36"/>
        <v>0</v>
      </c>
      <c r="AA41" s="128">
        <f t="shared" si="36"/>
        <v>0</v>
      </c>
      <c r="AB41" s="173">
        <f t="shared" si="36"/>
        <v>0</v>
      </c>
      <c r="AC41" s="128">
        <f t="shared" si="36"/>
        <v>0</v>
      </c>
      <c r="AD41" s="210">
        <f t="shared" si="36"/>
        <v>30000</v>
      </c>
      <c r="AE41" s="243">
        <f t="shared" si="36"/>
        <v>30000</v>
      </c>
      <c r="AF41" s="128">
        <f t="shared" si="36"/>
        <v>0</v>
      </c>
      <c r="AG41" s="128">
        <f t="shared" si="36"/>
        <v>0</v>
      </c>
      <c r="AH41" s="128">
        <f t="shared" si="36"/>
        <v>0</v>
      </c>
      <c r="AI41" s="128">
        <f t="shared" si="36"/>
        <v>0</v>
      </c>
      <c r="AJ41" s="128">
        <f t="shared" si="36"/>
        <v>0</v>
      </c>
      <c r="AK41" s="128">
        <f t="shared" si="36"/>
        <v>0</v>
      </c>
      <c r="AL41" s="173">
        <f t="shared" si="36"/>
        <v>0</v>
      </c>
      <c r="AM41" s="128">
        <f t="shared" si="36"/>
        <v>-15000</v>
      </c>
      <c r="AN41" s="210">
        <f t="shared" si="36"/>
        <v>15000</v>
      </c>
      <c r="AO41" s="275">
        <f t="shared" si="35"/>
        <v>50</v>
      </c>
    </row>
    <row r="42" spans="1:41" ht="12.75">
      <c r="A42" s="1" t="e">
        <f>LEN(#REF!)</f>
        <v>#REF!</v>
      </c>
      <c r="B42" s="19" t="s">
        <v>56</v>
      </c>
      <c r="C42" s="122" t="s">
        <v>148</v>
      </c>
      <c r="D42" s="123">
        <v>100000</v>
      </c>
      <c r="E42" s="117">
        <v>100000</v>
      </c>
      <c r="F42" s="127"/>
      <c r="G42" s="117"/>
      <c r="H42" s="119"/>
      <c r="I42" s="119"/>
      <c r="J42" s="154"/>
      <c r="K42" s="123">
        <v>100000</v>
      </c>
      <c r="L42" s="186">
        <f t="shared" si="5"/>
        <v>100</v>
      </c>
      <c r="M42" s="117">
        <v>100000</v>
      </c>
      <c r="N42" s="127"/>
      <c r="O42" s="117"/>
      <c r="P42" s="119"/>
      <c r="Q42" s="117"/>
      <c r="R42" s="154">
        <f t="shared" si="30"/>
        <v>-70000</v>
      </c>
      <c r="S42" s="202">
        <v>30000</v>
      </c>
      <c r="T42" s="186">
        <f t="shared" si="6"/>
        <v>30</v>
      </c>
      <c r="U42" s="117">
        <v>30000</v>
      </c>
      <c r="V42" s="127"/>
      <c r="W42" s="117"/>
      <c r="X42" s="119"/>
      <c r="Y42" s="119"/>
      <c r="Z42" s="119"/>
      <c r="AA42" s="223"/>
      <c r="AB42" s="224"/>
      <c r="AC42" s="154"/>
      <c r="AD42" s="205">
        <v>30000</v>
      </c>
      <c r="AE42" s="239">
        <v>30000</v>
      </c>
      <c r="AF42" s="127"/>
      <c r="AG42" s="117"/>
      <c r="AH42" s="119"/>
      <c r="AI42" s="119"/>
      <c r="AJ42" s="119"/>
      <c r="AK42" s="223"/>
      <c r="AL42" s="224"/>
      <c r="AM42" s="154">
        <v>-15000</v>
      </c>
      <c r="AN42" s="205">
        <f>30000+AM42</f>
        <v>15000</v>
      </c>
      <c r="AO42" s="275">
        <f t="shared" si="35"/>
        <v>50</v>
      </c>
    </row>
    <row r="43" spans="1:41" ht="24">
      <c r="A43" s="1" t="e">
        <f>LEN(#REF!)</f>
        <v>#REF!</v>
      </c>
      <c r="B43" s="18" t="s">
        <v>55</v>
      </c>
      <c r="C43" s="120" t="s">
        <v>54</v>
      </c>
      <c r="D43" s="121">
        <f t="shared" ref="D43:Q43" si="37">SUM(D44:D50)</f>
        <v>513000</v>
      </c>
      <c r="E43" s="121">
        <f t="shared" si="37"/>
        <v>365000</v>
      </c>
      <c r="F43" s="121">
        <f t="shared" si="37"/>
        <v>148000</v>
      </c>
      <c r="G43" s="121">
        <f t="shared" si="37"/>
        <v>0</v>
      </c>
      <c r="H43" s="121">
        <f t="shared" si="37"/>
        <v>0</v>
      </c>
      <c r="I43" s="121">
        <f t="shared" si="37"/>
        <v>0</v>
      </c>
      <c r="J43" s="121">
        <f t="shared" si="37"/>
        <v>-20000</v>
      </c>
      <c r="K43" s="121">
        <f t="shared" ref="K43" si="38">SUM(K44:K50)</f>
        <v>493000</v>
      </c>
      <c r="L43" s="186">
        <f t="shared" si="5"/>
        <v>96.101364522417157</v>
      </c>
      <c r="M43" s="121">
        <f t="shared" si="37"/>
        <v>345000</v>
      </c>
      <c r="N43" s="121">
        <f t="shared" si="37"/>
        <v>148000</v>
      </c>
      <c r="O43" s="121">
        <f t="shared" si="37"/>
        <v>0</v>
      </c>
      <c r="P43" s="121">
        <f t="shared" si="37"/>
        <v>0</v>
      </c>
      <c r="Q43" s="172">
        <f t="shared" si="37"/>
        <v>0</v>
      </c>
      <c r="R43" s="121">
        <f t="shared" ref="R43:S43" si="39">SUM(R44:R50)</f>
        <v>19000</v>
      </c>
      <c r="S43" s="208">
        <f t="shared" si="39"/>
        <v>512000</v>
      </c>
      <c r="T43" s="186">
        <f t="shared" si="6"/>
        <v>103.85395537525355</v>
      </c>
      <c r="U43" s="121">
        <f t="shared" ref="U43:AD43" si="40">SUM(U44:U50)</f>
        <v>345000</v>
      </c>
      <c r="V43" s="121">
        <f t="shared" si="40"/>
        <v>137000</v>
      </c>
      <c r="W43" s="121">
        <f t="shared" si="40"/>
        <v>0</v>
      </c>
      <c r="X43" s="121">
        <f t="shared" si="40"/>
        <v>0</v>
      </c>
      <c r="Y43" s="121">
        <f t="shared" si="40"/>
        <v>0</v>
      </c>
      <c r="Z43" s="121">
        <f t="shared" si="40"/>
        <v>0</v>
      </c>
      <c r="AA43" s="121">
        <f t="shared" si="40"/>
        <v>3000</v>
      </c>
      <c r="AB43" s="172">
        <f t="shared" si="40"/>
        <v>27000</v>
      </c>
      <c r="AC43" s="121">
        <f t="shared" si="40"/>
        <v>0</v>
      </c>
      <c r="AD43" s="208">
        <f t="shared" si="40"/>
        <v>512000</v>
      </c>
      <c r="AE43" s="238">
        <f t="shared" ref="AE43:AN43" si="41">SUM(AE44:AE50)</f>
        <v>345000</v>
      </c>
      <c r="AF43" s="121">
        <f t="shared" si="41"/>
        <v>137000</v>
      </c>
      <c r="AG43" s="121">
        <f t="shared" si="41"/>
        <v>0</v>
      </c>
      <c r="AH43" s="121">
        <f t="shared" si="41"/>
        <v>0</v>
      </c>
      <c r="AI43" s="121">
        <f t="shared" si="41"/>
        <v>0</v>
      </c>
      <c r="AJ43" s="121">
        <f t="shared" si="41"/>
        <v>0</v>
      </c>
      <c r="AK43" s="121">
        <f t="shared" si="41"/>
        <v>3000</v>
      </c>
      <c r="AL43" s="172">
        <f t="shared" si="41"/>
        <v>27000</v>
      </c>
      <c r="AM43" s="121">
        <f t="shared" si="41"/>
        <v>163000</v>
      </c>
      <c r="AN43" s="208">
        <f t="shared" si="41"/>
        <v>675000</v>
      </c>
      <c r="AO43" s="275">
        <f t="shared" si="35"/>
        <v>131.8359375</v>
      </c>
    </row>
    <row r="44" spans="1:41" ht="22.5">
      <c r="A44" s="1" t="e">
        <f>LEN(#REF!)</f>
        <v>#REF!</v>
      </c>
      <c r="B44" s="19" t="s">
        <v>53</v>
      </c>
      <c r="C44" s="122" t="s">
        <v>52</v>
      </c>
      <c r="D44" s="123">
        <v>80000</v>
      </c>
      <c r="E44" s="117">
        <v>64000</v>
      </c>
      <c r="F44" s="118">
        <v>16000</v>
      </c>
      <c r="G44" s="117"/>
      <c r="H44" s="119"/>
      <c r="I44" s="119"/>
      <c r="J44" s="154"/>
      <c r="K44" s="123">
        <v>80000</v>
      </c>
      <c r="L44" s="186">
        <f t="shared" si="5"/>
        <v>100</v>
      </c>
      <c r="M44" s="117">
        <v>64000</v>
      </c>
      <c r="N44" s="118">
        <v>16000</v>
      </c>
      <c r="O44" s="117"/>
      <c r="P44" s="119"/>
      <c r="Q44" s="117"/>
      <c r="R44" s="154">
        <f t="shared" si="30"/>
        <v>10000</v>
      </c>
      <c r="S44" s="202">
        <v>90000</v>
      </c>
      <c r="T44" s="186">
        <f t="shared" si="6"/>
        <v>112.5</v>
      </c>
      <c r="U44" s="117">
        <v>64000</v>
      </c>
      <c r="V44" s="118">
        <v>26000</v>
      </c>
      <c r="W44" s="117"/>
      <c r="X44" s="119"/>
      <c r="Y44" s="119"/>
      <c r="Z44" s="119"/>
      <c r="AA44" s="223"/>
      <c r="AB44" s="224"/>
      <c r="AC44" s="154"/>
      <c r="AD44" s="205">
        <v>90000</v>
      </c>
      <c r="AE44" s="239">
        <v>64000</v>
      </c>
      <c r="AF44" s="118">
        <v>26000</v>
      </c>
      <c r="AG44" s="117"/>
      <c r="AH44" s="119"/>
      <c r="AI44" s="119"/>
      <c r="AJ44" s="119"/>
      <c r="AK44" s="223"/>
      <c r="AL44" s="224"/>
      <c r="AM44" s="154"/>
      <c r="AN44" s="205">
        <v>90000</v>
      </c>
      <c r="AO44" s="275">
        <f t="shared" si="35"/>
        <v>100</v>
      </c>
    </row>
    <row r="45" spans="1:41" ht="12.75">
      <c r="A45" s="1" t="e">
        <f>LEN(#REF!)</f>
        <v>#REF!</v>
      </c>
      <c r="B45" s="19" t="s">
        <v>51</v>
      </c>
      <c r="C45" s="122" t="s">
        <v>50</v>
      </c>
      <c r="D45" s="123">
        <v>240000</v>
      </c>
      <c r="E45" s="117">
        <v>192000</v>
      </c>
      <c r="F45" s="118">
        <v>48000</v>
      </c>
      <c r="G45" s="117"/>
      <c r="H45" s="119"/>
      <c r="I45" s="119"/>
      <c r="J45" s="154"/>
      <c r="K45" s="123">
        <v>240000</v>
      </c>
      <c r="L45" s="186">
        <f t="shared" si="5"/>
        <v>100</v>
      </c>
      <c r="M45" s="117">
        <v>192000</v>
      </c>
      <c r="N45" s="118">
        <v>48000</v>
      </c>
      <c r="O45" s="117"/>
      <c r="P45" s="119"/>
      <c r="Q45" s="117"/>
      <c r="R45" s="154">
        <f t="shared" si="30"/>
        <v>0</v>
      </c>
      <c r="S45" s="209">
        <v>240000</v>
      </c>
      <c r="T45" s="186">
        <f t="shared" si="6"/>
        <v>100</v>
      </c>
      <c r="U45" s="117">
        <v>192000</v>
      </c>
      <c r="V45" s="118">
        <v>48000</v>
      </c>
      <c r="W45" s="117"/>
      <c r="X45" s="119"/>
      <c r="Y45" s="119"/>
      <c r="Z45" s="119"/>
      <c r="AA45" s="223"/>
      <c r="AB45" s="224"/>
      <c r="AC45" s="154"/>
      <c r="AD45" s="255">
        <v>240000</v>
      </c>
      <c r="AE45" s="239">
        <v>192000</v>
      </c>
      <c r="AF45" s="118">
        <v>48000</v>
      </c>
      <c r="AG45" s="117"/>
      <c r="AH45" s="119"/>
      <c r="AI45" s="119"/>
      <c r="AJ45" s="119"/>
      <c r="AK45" s="223"/>
      <c r="AL45" s="224"/>
      <c r="AM45" s="154"/>
      <c r="AN45" s="255">
        <v>240000</v>
      </c>
      <c r="AO45" s="275">
        <f t="shared" si="35"/>
        <v>100</v>
      </c>
    </row>
    <row r="46" spans="1:41" ht="12.75">
      <c r="A46" s="1" t="e">
        <f>LEN(#REF!)</f>
        <v>#REF!</v>
      </c>
      <c r="B46" s="19" t="s">
        <v>49</v>
      </c>
      <c r="C46" s="122" t="s">
        <v>48</v>
      </c>
      <c r="D46" s="123">
        <v>30000</v>
      </c>
      <c r="E46" s="129"/>
      <c r="F46" s="118">
        <v>30000</v>
      </c>
      <c r="G46" s="117"/>
      <c r="H46" s="119"/>
      <c r="I46" s="119"/>
      <c r="J46" s="154"/>
      <c r="K46" s="123">
        <v>30000</v>
      </c>
      <c r="L46" s="186">
        <f t="shared" si="5"/>
        <v>100</v>
      </c>
      <c r="M46" s="129"/>
      <c r="N46" s="118">
        <v>30000</v>
      </c>
      <c r="O46" s="117"/>
      <c r="P46" s="119"/>
      <c r="Q46" s="117"/>
      <c r="R46" s="154">
        <f t="shared" si="30"/>
        <v>9000</v>
      </c>
      <c r="S46" s="202">
        <v>39000</v>
      </c>
      <c r="T46" s="186">
        <f t="shared" si="6"/>
        <v>130</v>
      </c>
      <c r="U46" s="129"/>
      <c r="V46" s="118">
        <v>9000</v>
      </c>
      <c r="W46" s="117"/>
      <c r="X46" s="119"/>
      <c r="Y46" s="119"/>
      <c r="Z46" s="119"/>
      <c r="AA46" s="223">
        <v>3000</v>
      </c>
      <c r="AB46" s="224">
        <v>27000</v>
      </c>
      <c r="AC46" s="154"/>
      <c r="AD46" s="205">
        <v>39000</v>
      </c>
      <c r="AE46" s="244"/>
      <c r="AF46" s="118">
        <v>9000</v>
      </c>
      <c r="AG46" s="117"/>
      <c r="AH46" s="119"/>
      <c r="AI46" s="119"/>
      <c r="AJ46" s="119"/>
      <c r="AK46" s="223">
        <v>3000</v>
      </c>
      <c r="AL46" s="224">
        <v>27000</v>
      </c>
      <c r="AM46" s="154">
        <v>171000</v>
      </c>
      <c r="AN46" s="205">
        <f>39000+AM46</f>
        <v>210000</v>
      </c>
      <c r="AO46" s="275">
        <f t="shared" si="35"/>
        <v>538.46153846153845</v>
      </c>
    </row>
    <row r="47" spans="1:41" ht="12.75">
      <c r="A47" s="1" t="e">
        <f>LEN(#REF!)</f>
        <v>#REF!</v>
      </c>
      <c r="B47" s="19" t="s">
        <v>47</v>
      </c>
      <c r="C47" s="122" t="s">
        <v>46</v>
      </c>
      <c r="D47" s="123">
        <f>38000+10000</f>
        <v>48000</v>
      </c>
      <c r="E47" s="117">
        <v>28000</v>
      </c>
      <c r="F47" s="118">
        <v>20000</v>
      </c>
      <c r="G47" s="117"/>
      <c r="H47" s="119"/>
      <c r="I47" s="119"/>
      <c r="J47" s="154"/>
      <c r="K47" s="123">
        <v>48000</v>
      </c>
      <c r="L47" s="186">
        <f t="shared" si="5"/>
        <v>100</v>
      </c>
      <c r="M47" s="117">
        <v>28000</v>
      </c>
      <c r="N47" s="118">
        <v>20000</v>
      </c>
      <c r="O47" s="117"/>
      <c r="P47" s="119"/>
      <c r="Q47" s="117"/>
      <c r="R47" s="154">
        <f t="shared" si="30"/>
        <v>0</v>
      </c>
      <c r="S47" s="202">
        <v>48000</v>
      </c>
      <c r="T47" s="186">
        <f t="shared" si="6"/>
        <v>100</v>
      </c>
      <c r="U47" s="117">
        <v>28000</v>
      </c>
      <c r="V47" s="118">
        <v>20000</v>
      </c>
      <c r="W47" s="117"/>
      <c r="X47" s="119"/>
      <c r="Y47" s="119"/>
      <c r="Z47" s="119"/>
      <c r="AA47" s="223"/>
      <c r="AB47" s="224"/>
      <c r="AC47" s="154"/>
      <c r="AD47" s="205">
        <v>48000</v>
      </c>
      <c r="AE47" s="239">
        <v>28000</v>
      </c>
      <c r="AF47" s="118">
        <v>20000</v>
      </c>
      <c r="AG47" s="117"/>
      <c r="AH47" s="119"/>
      <c r="AI47" s="119"/>
      <c r="AJ47" s="119"/>
      <c r="AK47" s="223"/>
      <c r="AL47" s="224"/>
      <c r="AM47" s="154">
        <v>-8000</v>
      </c>
      <c r="AN47" s="205">
        <f>48000-8000</f>
        <v>40000</v>
      </c>
      <c r="AO47" s="275">
        <f t="shared" si="35"/>
        <v>83.333333333333343</v>
      </c>
    </row>
    <row r="48" spans="1:41" ht="12.75">
      <c r="A48" s="1" t="e">
        <f>LEN(#REF!)</f>
        <v>#REF!</v>
      </c>
      <c r="B48" s="19" t="s">
        <v>45</v>
      </c>
      <c r="C48" s="122" t="s">
        <v>44</v>
      </c>
      <c r="D48" s="123">
        <v>70000</v>
      </c>
      <c r="E48" s="117">
        <v>56000</v>
      </c>
      <c r="F48" s="118">
        <v>14000</v>
      </c>
      <c r="G48" s="117"/>
      <c r="H48" s="119"/>
      <c r="I48" s="119"/>
      <c r="J48" s="154"/>
      <c r="K48" s="123">
        <v>70000</v>
      </c>
      <c r="L48" s="186">
        <f t="shared" si="5"/>
        <v>100</v>
      </c>
      <c r="M48" s="117">
        <v>56000</v>
      </c>
      <c r="N48" s="118">
        <v>14000</v>
      </c>
      <c r="O48" s="117"/>
      <c r="P48" s="119"/>
      <c r="Q48" s="117"/>
      <c r="R48" s="154">
        <f t="shared" si="30"/>
        <v>0</v>
      </c>
      <c r="S48" s="202">
        <v>70000</v>
      </c>
      <c r="T48" s="186">
        <f t="shared" si="6"/>
        <v>100</v>
      </c>
      <c r="U48" s="117">
        <v>56000</v>
      </c>
      <c r="V48" s="118">
        <v>14000</v>
      </c>
      <c r="W48" s="117"/>
      <c r="X48" s="119"/>
      <c r="Y48" s="119"/>
      <c r="Z48" s="119"/>
      <c r="AA48" s="223"/>
      <c r="AB48" s="224"/>
      <c r="AC48" s="154"/>
      <c r="AD48" s="205">
        <v>70000</v>
      </c>
      <c r="AE48" s="239">
        <v>56000</v>
      </c>
      <c r="AF48" s="118">
        <v>14000</v>
      </c>
      <c r="AG48" s="117"/>
      <c r="AH48" s="119"/>
      <c r="AI48" s="119"/>
      <c r="AJ48" s="119"/>
      <c r="AK48" s="223"/>
      <c r="AL48" s="224"/>
      <c r="AM48" s="154"/>
      <c r="AN48" s="205">
        <v>70000</v>
      </c>
      <c r="AO48" s="275">
        <f t="shared" si="35"/>
        <v>100</v>
      </c>
    </row>
    <row r="49" spans="1:41" ht="12.75">
      <c r="A49" s="1" t="e">
        <f>LEN(#REF!)</f>
        <v>#REF!</v>
      </c>
      <c r="B49" s="19" t="s">
        <v>43</v>
      </c>
      <c r="C49" s="122" t="s">
        <v>42</v>
      </c>
      <c r="D49" s="123">
        <v>25000</v>
      </c>
      <c r="E49" s="117">
        <v>25000</v>
      </c>
      <c r="F49" s="127"/>
      <c r="G49" s="117"/>
      <c r="H49" s="119"/>
      <c r="I49" s="119"/>
      <c r="J49" s="154">
        <v>-20000</v>
      </c>
      <c r="K49" s="157">
        <f>25000-20000</f>
        <v>5000</v>
      </c>
      <c r="L49" s="186">
        <f t="shared" si="5"/>
        <v>20</v>
      </c>
      <c r="M49" s="199">
        <f>25000-20000</f>
        <v>5000</v>
      </c>
      <c r="N49" s="127"/>
      <c r="O49" s="117"/>
      <c r="P49" s="119"/>
      <c r="Q49" s="117"/>
      <c r="R49" s="154">
        <f t="shared" si="30"/>
        <v>0</v>
      </c>
      <c r="S49" s="202">
        <v>5000</v>
      </c>
      <c r="T49" s="186">
        <f t="shared" si="6"/>
        <v>100</v>
      </c>
      <c r="U49" s="199">
        <f>25000-20000</f>
        <v>5000</v>
      </c>
      <c r="V49" s="127"/>
      <c r="W49" s="117"/>
      <c r="X49" s="119"/>
      <c r="Y49" s="119"/>
      <c r="Z49" s="119"/>
      <c r="AA49" s="223"/>
      <c r="AB49" s="224"/>
      <c r="AC49" s="154"/>
      <c r="AD49" s="205">
        <v>5000</v>
      </c>
      <c r="AE49" s="242">
        <f>25000-20000</f>
        <v>5000</v>
      </c>
      <c r="AF49" s="127"/>
      <c r="AG49" s="117"/>
      <c r="AH49" s="119"/>
      <c r="AI49" s="119"/>
      <c r="AJ49" s="119"/>
      <c r="AK49" s="223"/>
      <c r="AL49" s="224"/>
      <c r="AM49" s="154"/>
      <c r="AN49" s="205">
        <v>5000</v>
      </c>
      <c r="AO49" s="275">
        <f t="shared" si="35"/>
        <v>100</v>
      </c>
    </row>
    <row r="50" spans="1:41" ht="13.5" thickBot="1">
      <c r="A50" s="1" t="e">
        <f>LEN(#REF!)</f>
        <v>#REF!</v>
      </c>
      <c r="B50" s="19" t="s">
        <v>41</v>
      </c>
      <c r="C50" s="122" t="s">
        <v>40</v>
      </c>
      <c r="D50" s="130">
        <v>20000</v>
      </c>
      <c r="E50" s="129"/>
      <c r="F50" s="118">
        <v>20000</v>
      </c>
      <c r="G50" s="117"/>
      <c r="H50" s="119"/>
      <c r="I50" s="119"/>
      <c r="J50" s="154"/>
      <c r="K50" s="130">
        <v>20000</v>
      </c>
      <c r="L50" s="186">
        <f t="shared" si="5"/>
        <v>100</v>
      </c>
      <c r="M50" s="129"/>
      <c r="N50" s="118">
        <v>20000</v>
      </c>
      <c r="O50" s="117"/>
      <c r="P50" s="119"/>
      <c r="Q50" s="117"/>
      <c r="R50" s="154">
        <f t="shared" si="30"/>
        <v>0</v>
      </c>
      <c r="S50" s="202">
        <v>20000</v>
      </c>
      <c r="T50" s="186">
        <f t="shared" si="6"/>
        <v>100</v>
      </c>
      <c r="U50" s="129"/>
      <c r="V50" s="118">
        <v>20000</v>
      </c>
      <c r="W50" s="117"/>
      <c r="X50" s="119"/>
      <c r="Y50" s="119"/>
      <c r="Z50" s="119"/>
      <c r="AA50" s="223"/>
      <c r="AB50" s="224"/>
      <c r="AC50" s="154"/>
      <c r="AD50" s="205">
        <v>20000</v>
      </c>
      <c r="AE50" s="244"/>
      <c r="AF50" s="118">
        <v>20000</v>
      </c>
      <c r="AG50" s="117"/>
      <c r="AH50" s="119"/>
      <c r="AI50" s="119"/>
      <c r="AJ50" s="119"/>
      <c r="AK50" s="223"/>
      <c r="AL50" s="224"/>
      <c r="AM50" s="154"/>
      <c r="AN50" s="205">
        <v>20000</v>
      </c>
      <c r="AO50" s="275">
        <f t="shared" si="35"/>
        <v>100</v>
      </c>
    </row>
    <row r="51" spans="1:41" ht="15.75">
      <c r="A51" s="1" t="e">
        <f>LEN(#REF!)</f>
        <v>#REF!</v>
      </c>
      <c r="B51" s="21" t="s">
        <v>39</v>
      </c>
      <c r="C51" s="131" t="s">
        <v>38</v>
      </c>
      <c r="D51" s="132">
        <f>D54+D52</f>
        <v>141679</v>
      </c>
      <c r="E51" s="132">
        <f t="shared" ref="E51:S51" si="42">E54+E52</f>
        <v>76000</v>
      </c>
      <c r="F51" s="132">
        <f t="shared" si="42"/>
        <v>65679</v>
      </c>
      <c r="G51" s="132">
        <f t="shared" si="42"/>
        <v>0</v>
      </c>
      <c r="H51" s="132">
        <f t="shared" si="42"/>
        <v>0</v>
      </c>
      <c r="I51" s="132">
        <f t="shared" si="42"/>
        <v>0</v>
      </c>
      <c r="J51" s="132">
        <f t="shared" si="42"/>
        <v>17000</v>
      </c>
      <c r="K51" s="132">
        <f>K54+K52</f>
        <v>158679</v>
      </c>
      <c r="L51" s="186">
        <f t="shared" si="5"/>
        <v>111.9989553850606</v>
      </c>
      <c r="M51" s="132">
        <f t="shared" si="42"/>
        <v>72000</v>
      </c>
      <c r="N51" s="132">
        <f t="shared" si="42"/>
        <v>86679</v>
      </c>
      <c r="O51" s="132">
        <f t="shared" si="42"/>
        <v>0</v>
      </c>
      <c r="P51" s="132">
        <f t="shared" si="42"/>
        <v>0</v>
      </c>
      <c r="Q51" s="174">
        <f t="shared" si="42"/>
        <v>0</v>
      </c>
      <c r="R51" s="132">
        <f t="shared" si="42"/>
        <v>101000</v>
      </c>
      <c r="S51" s="211">
        <f t="shared" si="42"/>
        <v>259679</v>
      </c>
      <c r="T51" s="186">
        <f t="shared" si="6"/>
        <v>163.65051456084296</v>
      </c>
      <c r="U51" s="132">
        <f t="shared" ref="U51:AD51" si="43">U54+U52</f>
        <v>150000</v>
      </c>
      <c r="V51" s="132">
        <f t="shared" si="43"/>
        <v>109679</v>
      </c>
      <c r="W51" s="132">
        <f t="shared" si="43"/>
        <v>0</v>
      </c>
      <c r="X51" s="132">
        <f t="shared" si="43"/>
        <v>0</v>
      </c>
      <c r="Y51" s="132">
        <f t="shared" si="43"/>
        <v>0</v>
      </c>
      <c r="Z51" s="132">
        <f t="shared" si="43"/>
        <v>0</v>
      </c>
      <c r="AA51" s="132">
        <f t="shared" si="43"/>
        <v>0</v>
      </c>
      <c r="AB51" s="174">
        <f t="shared" si="43"/>
        <v>0</v>
      </c>
      <c r="AC51" s="132">
        <f t="shared" si="43"/>
        <v>0</v>
      </c>
      <c r="AD51" s="211">
        <f t="shared" si="43"/>
        <v>259679</v>
      </c>
      <c r="AE51" s="245">
        <f t="shared" ref="AE51:AN51" si="44">AE54+AE52</f>
        <v>150000</v>
      </c>
      <c r="AF51" s="132">
        <f t="shared" si="44"/>
        <v>109679</v>
      </c>
      <c r="AG51" s="132">
        <f t="shared" si="44"/>
        <v>0</v>
      </c>
      <c r="AH51" s="132">
        <f t="shared" si="44"/>
        <v>0</v>
      </c>
      <c r="AI51" s="132">
        <f t="shared" si="44"/>
        <v>0</v>
      </c>
      <c r="AJ51" s="132">
        <f t="shared" si="44"/>
        <v>0</v>
      </c>
      <c r="AK51" s="132">
        <f t="shared" si="44"/>
        <v>0</v>
      </c>
      <c r="AL51" s="174">
        <f t="shared" si="44"/>
        <v>0</v>
      </c>
      <c r="AM51" s="132">
        <f t="shared" si="44"/>
        <v>15000</v>
      </c>
      <c r="AN51" s="211">
        <f t="shared" si="44"/>
        <v>274679</v>
      </c>
      <c r="AO51" s="275">
        <f t="shared" si="35"/>
        <v>105.77636235506145</v>
      </c>
    </row>
    <row r="52" spans="1:41" ht="12.75">
      <c r="B52" s="22">
        <v>342</v>
      </c>
      <c r="C52" s="133" t="s">
        <v>37</v>
      </c>
      <c r="D52" s="134">
        <f t="shared" ref="D52:AN52" si="45">SUM(D53)</f>
        <v>34679</v>
      </c>
      <c r="E52" s="134">
        <f t="shared" si="45"/>
        <v>0</v>
      </c>
      <c r="F52" s="134">
        <f t="shared" si="45"/>
        <v>34679</v>
      </c>
      <c r="G52" s="134">
        <f t="shared" si="45"/>
        <v>0</v>
      </c>
      <c r="H52" s="134">
        <f t="shared" si="45"/>
        <v>0</v>
      </c>
      <c r="I52" s="134">
        <f t="shared" si="45"/>
        <v>0</v>
      </c>
      <c r="J52" s="134">
        <f t="shared" si="45"/>
        <v>0</v>
      </c>
      <c r="K52" s="134">
        <f t="shared" si="45"/>
        <v>34679</v>
      </c>
      <c r="L52" s="186">
        <f t="shared" si="5"/>
        <v>100</v>
      </c>
      <c r="M52" s="134">
        <f t="shared" si="45"/>
        <v>0</v>
      </c>
      <c r="N52" s="134">
        <f t="shared" si="45"/>
        <v>34679</v>
      </c>
      <c r="O52" s="134">
        <f t="shared" si="45"/>
        <v>0</v>
      </c>
      <c r="P52" s="134">
        <f t="shared" si="45"/>
        <v>0</v>
      </c>
      <c r="Q52" s="175">
        <f t="shared" si="45"/>
        <v>0</v>
      </c>
      <c r="R52" s="134">
        <f t="shared" si="45"/>
        <v>0</v>
      </c>
      <c r="S52" s="212">
        <f t="shared" si="45"/>
        <v>34679</v>
      </c>
      <c r="T52" s="186">
        <f t="shared" si="6"/>
        <v>100</v>
      </c>
      <c r="U52" s="134">
        <f t="shared" si="45"/>
        <v>0</v>
      </c>
      <c r="V52" s="134">
        <f t="shared" si="45"/>
        <v>34679</v>
      </c>
      <c r="W52" s="134">
        <f t="shared" si="45"/>
        <v>0</v>
      </c>
      <c r="X52" s="134">
        <f t="shared" si="45"/>
        <v>0</v>
      </c>
      <c r="Y52" s="134">
        <f t="shared" si="45"/>
        <v>0</v>
      </c>
      <c r="Z52" s="134">
        <f t="shared" si="45"/>
        <v>0</v>
      </c>
      <c r="AA52" s="134">
        <f t="shared" si="45"/>
        <v>0</v>
      </c>
      <c r="AB52" s="175">
        <f t="shared" si="45"/>
        <v>0</v>
      </c>
      <c r="AC52" s="134">
        <f t="shared" si="45"/>
        <v>0</v>
      </c>
      <c r="AD52" s="212">
        <f t="shared" si="45"/>
        <v>34679</v>
      </c>
      <c r="AE52" s="246">
        <f t="shared" si="45"/>
        <v>0</v>
      </c>
      <c r="AF52" s="134">
        <f t="shared" si="45"/>
        <v>34679</v>
      </c>
      <c r="AG52" s="134">
        <f t="shared" si="45"/>
        <v>0</v>
      </c>
      <c r="AH52" s="134">
        <f t="shared" si="45"/>
        <v>0</v>
      </c>
      <c r="AI52" s="134">
        <f t="shared" si="45"/>
        <v>0</v>
      </c>
      <c r="AJ52" s="134">
        <f t="shared" si="45"/>
        <v>0</v>
      </c>
      <c r="AK52" s="134">
        <f t="shared" si="45"/>
        <v>0</v>
      </c>
      <c r="AL52" s="175">
        <f t="shared" si="45"/>
        <v>0</v>
      </c>
      <c r="AM52" s="134">
        <f t="shared" si="45"/>
        <v>0</v>
      </c>
      <c r="AN52" s="212">
        <f t="shared" si="45"/>
        <v>34679</v>
      </c>
      <c r="AO52" s="275">
        <f t="shared" si="35"/>
        <v>100</v>
      </c>
    </row>
    <row r="53" spans="1:41" ht="12.75">
      <c r="B53" s="23">
        <v>3423</v>
      </c>
      <c r="C53" s="122" t="s">
        <v>36</v>
      </c>
      <c r="D53" s="135">
        <v>34679</v>
      </c>
      <c r="E53" s="129"/>
      <c r="F53" s="118">
        <v>34679</v>
      </c>
      <c r="G53" s="117"/>
      <c r="H53" s="119"/>
      <c r="I53" s="119"/>
      <c r="J53" s="154"/>
      <c r="K53" s="135">
        <v>34679</v>
      </c>
      <c r="L53" s="186">
        <f t="shared" si="5"/>
        <v>100</v>
      </c>
      <c r="M53" s="129"/>
      <c r="N53" s="118">
        <v>34679</v>
      </c>
      <c r="O53" s="117"/>
      <c r="P53" s="119"/>
      <c r="Q53" s="117"/>
      <c r="R53" s="154">
        <f t="shared" ref="R53" si="46">S53-K53</f>
        <v>0</v>
      </c>
      <c r="S53" s="202">
        <v>34679</v>
      </c>
      <c r="T53" s="186">
        <f t="shared" si="6"/>
        <v>100</v>
      </c>
      <c r="U53" s="129"/>
      <c r="V53" s="118">
        <v>34679</v>
      </c>
      <c r="W53" s="117"/>
      <c r="X53" s="119"/>
      <c r="Y53" s="119"/>
      <c r="Z53" s="119"/>
      <c r="AA53" s="119"/>
      <c r="AB53" s="117"/>
      <c r="AC53" s="154"/>
      <c r="AD53" s="205">
        <v>34679</v>
      </c>
      <c r="AE53" s="244"/>
      <c r="AF53" s="118">
        <v>34679</v>
      </c>
      <c r="AG53" s="117"/>
      <c r="AH53" s="119"/>
      <c r="AI53" s="119"/>
      <c r="AJ53" s="119"/>
      <c r="AK53" s="119"/>
      <c r="AL53" s="117"/>
      <c r="AM53" s="154"/>
      <c r="AN53" s="205">
        <v>34679</v>
      </c>
      <c r="AO53" s="275">
        <f t="shared" si="35"/>
        <v>100</v>
      </c>
    </row>
    <row r="54" spans="1:41" ht="12.75">
      <c r="A54" s="1" t="e">
        <f>LEN(#REF!)</f>
        <v>#REF!</v>
      </c>
      <c r="B54" s="18" t="s">
        <v>35</v>
      </c>
      <c r="C54" s="120" t="s">
        <v>34</v>
      </c>
      <c r="D54" s="121">
        <f>SUM(D55:D58)</f>
        <v>107000</v>
      </c>
      <c r="E54" s="121">
        <f t="shared" ref="E54:S54" si="47">SUM(E55:E58)</f>
        <v>76000</v>
      </c>
      <c r="F54" s="121">
        <f t="shared" si="47"/>
        <v>31000</v>
      </c>
      <c r="G54" s="121">
        <f t="shared" si="47"/>
        <v>0</v>
      </c>
      <c r="H54" s="121">
        <f t="shared" si="47"/>
        <v>0</v>
      </c>
      <c r="I54" s="121">
        <f t="shared" si="47"/>
        <v>0</v>
      </c>
      <c r="J54" s="121">
        <f t="shared" si="47"/>
        <v>17000</v>
      </c>
      <c r="K54" s="121">
        <f>SUM(K55:K58)</f>
        <v>124000</v>
      </c>
      <c r="L54" s="186">
        <f t="shared" si="5"/>
        <v>115.88785046728971</v>
      </c>
      <c r="M54" s="121">
        <f t="shared" si="47"/>
        <v>72000</v>
      </c>
      <c r="N54" s="121">
        <f t="shared" si="47"/>
        <v>52000</v>
      </c>
      <c r="O54" s="121">
        <f t="shared" si="47"/>
        <v>0</v>
      </c>
      <c r="P54" s="121">
        <f t="shared" si="47"/>
        <v>0</v>
      </c>
      <c r="Q54" s="172">
        <f t="shared" si="47"/>
        <v>0</v>
      </c>
      <c r="R54" s="121">
        <f t="shared" si="47"/>
        <v>101000</v>
      </c>
      <c r="S54" s="208">
        <f t="shared" si="47"/>
        <v>225000</v>
      </c>
      <c r="T54" s="186">
        <f t="shared" si="6"/>
        <v>181.45161290322579</v>
      </c>
      <c r="U54" s="121">
        <f t="shared" ref="U54:AD54" si="48">SUM(U55:U58)</f>
        <v>150000</v>
      </c>
      <c r="V54" s="121">
        <f t="shared" si="48"/>
        <v>75000</v>
      </c>
      <c r="W54" s="121">
        <f t="shared" si="48"/>
        <v>0</v>
      </c>
      <c r="X54" s="121">
        <f t="shared" si="48"/>
        <v>0</v>
      </c>
      <c r="Y54" s="121">
        <f t="shared" si="48"/>
        <v>0</v>
      </c>
      <c r="Z54" s="121">
        <f t="shared" si="48"/>
        <v>0</v>
      </c>
      <c r="AA54" s="121">
        <f t="shared" si="48"/>
        <v>0</v>
      </c>
      <c r="AB54" s="172">
        <f t="shared" si="48"/>
        <v>0</v>
      </c>
      <c r="AC54" s="121">
        <f t="shared" si="48"/>
        <v>0</v>
      </c>
      <c r="AD54" s="208">
        <f t="shared" si="48"/>
        <v>225000</v>
      </c>
      <c r="AE54" s="238">
        <f t="shared" ref="AE54:AN54" si="49">SUM(AE55:AE58)</f>
        <v>150000</v>
      </c>
      <c r="AF54" s="121">
        <f t="shared" si="49"/>
        <v>75000</v>
      </c>
      <c r="AG54" s="121">
        <f t="shared" si="49"/>
        <v>0</v>
      </c>
      <c r="AH54" s="121">
        <f t="shared" si="49"/>
        <v>0</v>
      </c>
      <c r="AI54" s="121">
        <f t="shared" si="49"/>
        <v>0</v>
      </c>
      <c r="AJ54" s="121">
        <f t="shared" si="49"/>
        <v>0</v>
      </c>
      <c r="AK54" s="121">
        <f t="shared" si="49"/>
        <v>0</v>
      </c>
      <c r="AL54" s="172">
        <f t="shared" si="49"/>
        <v>0</v>
      </c>
      <c r="AM54" s="121">
        <f t="shared" si="49"/>
        <v>15000</v>
      </c>
      <c r="AN54" s="208">
        <f t="shared" si="49"/>
        <v>240000</v>
      </c>
      <c r="AO54" s="275">
        <f t="shared" si="35"/>
        <v>106.66666666666667</v>
      </c>
    </row>
    <row r="55" spans="1:41" ht="12.75">
      <c r="A55" s="1" t="e">
        <f>LEN(#REF!)</f>
        <v>#REF!</v>
      </c>
      <c r="B55" s="19" t="s">
        <v>33</v>
      </c>
      <c r="C55" s="122" t="s">
        <v>149</v>
      </c>
      <c r="D55" s="123">
        <v>22000</v>
      </c>
      <c r="E55" s="117">
        <v>12000</v>
      </c>
      <c r="F55" s="118">
        <v>10000</v>
      </c>
      <c r="G55" s="117"/>
      <c r="H55" s="119"/>
      <c r="I55" s="119"/>
      <c r="J55" s="154"/>
      <c r="K55" s="123">
        <v>22000</v>
      </c>
      <c r="L55" s="186">
        <f t="shared" si="5"/>
        <v>100</v>
      </c>
      <c r="M55" s="117">
        <v>12000</v>
      </c>
      <c r="N55" s="118">
        <v>10000</v>
      </c>
      <c r="O55" s="117"/>
      <c r="P55" s="119"/>
      <c r="Q55" s="117"/>
      <c r="R55" s="154">
        <f t="shared" ref="R55:R58" si="50">S55-K55</f>
        <v>18000</v>
      </c>
      <c r="S55" s="202">
        <v>40000</v>
      </c>
      <c r="T55" s="186">
        <f t="shared" si="6"/>
        <v>181.81818181818181</v>
      </c>
      <c r="U55" s="117">
        <v>27000</v>
      </c>
      <c r="V55" s="118">
        <v>13000</v>
      </c>
      <c r="W55" s="117"/>
      <c r="X55" s="119"/>
      <c r="Y55" s="119"/>
      <c r="Z55" s="119"/>
      <c r="AA55" s="223"/>
      <c r="AB55" s="224"/>
      <c r="AC55" s="154"/>
      <c r="AD55" s="205">
        <v>40000</v>
      </c>
      <c r="AE55" s="239">
        <v>27000</v>
      </c>
      <c r="AF55" s="118">
        <v>13000</v>
      </c>
      <c r="AG55" s="117"/>
      <c r="AH55" s="119"/>
      <c r="AI55" s="119"/>
      <c r="AJ55" s="119"/>
      <c r="AK55" s="223"/>
      <c r="AL55" s="224"/>
      <c r="AM55" s="154"/>
      <c r="AN55" s="205">
        <v>40000</v>
      </c>
      <c r="AO55" s="275">
        <f t="shared" si="35"/>
        <v>100</v>
      </c>
    </row>
    <row r="56" spans="1:41" ht="12.75">
      <c r="A56" s="1" t="e">
        <f>LEN(#REF!)</f>
        <v>#REF!</v>
      </c>
      <c r="B56" s="19" t="s">
        <v>32</v>
      </c>
      <c r="C56" s="122" t="s">
        <v>31</v>
      </c>
      <c r="D56" s="123">
        <v>2000</v>
      </c>
      <c r="E56" s="129"/>
      <c r="F56" s="118">
        <v>2000</v>
      </c>
      <c r="G56" s="117"/>
      <c r="H56" s="119"/>
      <c r="I56" s="119"/>
      <c r="J56" s="154">
        <v>10000</v>
      </c>
      <c r="K56" s="157">
        <v>12000</v>
      </c>
      <c r="L56" s="186">
        <f t="shared" si="5"/>
        <v>600</v>
      </c>
      <c r="M56" s="199">
        <v>10000</v>
      </c>
      <c r="N56" s="118">
        <v>2000</v>
      </c>
      <c r="O56" s="117"/>
      <c r="P56" s="119"/>
      <c r="Q56" s="117"/>
      <c r="R56" s="154">
        <f t="shared" si="50"/>
        <v>33000</v>
      </c>
      <c r="S56" s="202">
        <v>45000</v>
      </c>
      <c r="T56" s="186">
        <f t="shared" si="6"/>
        <v>375</v>
      </c>
      <c r="U56" s="199">
        <v>23000</v>
      </c>
      <c r="V56" s="118">
        <v>22000</v>
      </c>
      <c r="W56" s="117"/>
      <c r="X56" s="119"/>
      <c r="Y56" s="119"/>
      <c r="Z56" s="119"/>
      <c r="AA56" s="223"/>
      <c r="AB56" s="224"/>
      <c r="AC56" s="154"/>
      <c r="AD56" s="205">
        <v>45000</v>
      </c>
      <c r="AE56" s="242">
        <v>23000</v>
      </c>
      <c r="AF56" s="118">
        <v>22000</v>
      </c>
      <c r="AG56" s="117"/>
      <c r="AH56" s="119"/>
      <c r="AI56" s="119"/>
      <c r="AJ56" s="119"/>
      <c r="AK56" s="223"/>
      <c r="AL56" s="224"/>
      <c r="AM56" s="154">
        <v>15000</v>
      </c>
      <c r="AN56" s="205">
        <f>45000+AM56</f>
        <v>60000</v>
      </c>
      <c r="AO56" s="275">
        <f t="shared" si="35"/>
        <v>133.33333333333331</v>
      </c>
    </row>
    <row r="57" spans="1:41" ht="12.75">
      <c r="A57" s="1" t="e">
        <f>LEN(#REF!)</f>
        <v>#REF!</v>
      </c>
      <c r="B57" s="24" t="s">
        <v>30</v>
      </c>
      <c r="C57" s="136" t="s">
        <v>29</v>
      </c>
      <c r="D57" s="123">
        <v>3000</v>
      </c>
      <c r="E57" s="129"/>
      <c r="F57" s="118">
        <v>3000</v>
      </c>
      <c r="G57" s="117"/>
      <c r="H57" s="119"/>
      <c r="I57" s="119"/>
      <c r="J57" s="154">
        <v>7000</v>
      </c>
      <c r="K57" s="157">
        <f>3000+7000</f>
        <v>10000</v>
      </c>
      <c r="L57" s="186">
        <f t="shared" si="5"/>
        <v>333.33333333333337</v>
      </c>
      <c r="M57" s="129"/>
      <c r="N57" s="118">
        <f>3000+7000</f>
        <v>10000</v>
      </c>
      <c r="O57" s="117"/>
      <c r="P57" s="119"/>
      <c r="Q57" s="117"/>
      <c r="R57" s="154">
        <f t="shared" si="50"/>
        <v>0</v>
      </c>
      <c r="S57" s="202">
        <v>10000</v>
      </c>
      <c r="T57" s="186">
        <f t="shared" si="6"/>
        <v>100</v>
      </c>
      <c r="U57" s="129"/>
      <c r="V57" s="118">
        <f>3000+7000</f>
        <v>10000</v>
      </c>
      <c r="W57" s="117"/>
      <c r="X57" s="119"/>
      <c r="Y57" s="119"/>
      <c r="Z57" s="119"/>
      <c r="AA57" s="223"/>
      <c r="AB57" s="224"/>
      <c r="AC57" s="154"/>
      <c r="AD57" s="205">
        <v>10000</v>
      </c>
      <c r="AE57" s="244"/>
      <c r="AF57" s="118">
        <f>3000+7000</f>
        <v>10000</v>
      </c>
      <c r="AG57" s="117"/>
      <c r="AH57" s="119"/>
      <c r="AI57" s="119"/>
      <c r="AJ57" s="119"/>
      <c r="AK57" s="223"/>
      <c r="AL57" s="224"/>
      <c r="AM57" s="154"/>
      <c r="AN57" s="205">
        <v>10000</v>
      </c>
      <c r="AO57" s="275">
        <f t="shared" si="35"/>
        <v>100</v>
      </c>
    </row>
    <row r="58" spans="1:41" ht="13.5" thickBot="1">
      <c r="B58" s="25" t="s">
        <v>28</v>
      </c>
      <c r="C58" s="137" t="s">
        <v>150</v>
      </c>
      <c r="D58" s="138">
        <v>80000</v>
      </c>
      <c r="E58" s="117">
        <v>64000</v>
      </c>
      <c r="F58" s="118">
        <v>16000</v>
      </c>
      <c r="G58" s="117"/>
      <c r="H58" s="119"/>
      <c r="I58" s="119"/>
      <c r="J58" s="154"/>
      <c r="K58" s="138">
        <v>80000</v>
      </c>
      <c r="L58" s="186">
        <f t="shared" si="5"/>
        <v>100</v>
      </c>
      <c r="M58" s="117">
        <v>50000</v>
      </c>
      <c r="N58" s="118">
        <v>30000</v>
      </c>
      <c r="O58" s="117"/>
      <c r="P58" s="119"/>
      <c r="Q58" s="117"/>
      <c r="R58" s="154">
        <f t="shared" si="50"/>
        <v>50000</v>
      </c>
      <c r="S58" s="209">
        <v>130000</v>
      </c>
      <c r="T58" s="186">
        <f t="shared" si="6"/>
        <v>162.5</v>
      </c>
      <c r="U58" s="117">
        <v>100000</v>
      </c>
      <c r="V58" s="118">
        <v>30000</v>
      </c>
      <c r="W58" s="117"/>
      <c r="X58" s="119"/>
      <c r="Y58" s="119"/>
      <c r="Z58" s="119"/>
      <c r="AA58" s="223"/>
      <c r="AB58" s="224"/>
      <c r="AC58" s="154"/>
      <c r="AD58" s="255">
        <v>130000</v>
      </c>
      <c r="AE58" s="239">
        <v>100000</v>
      </c>
      <c r="AF58" s="118">
        <v>30000</v>
      </c>
      <c r="AG58" s="117"/>
      <c r="AH58" s="119"/>
      <c r="AI58" s="119"/>
      <c r="AJ58" s="119"/>
      <c r="AK58" s="223"/>
      <c r="AL58" s="224"/>
      <c r="AM58" s="154"/>
      <c r="AN58" s="255">
        <v>130000</v>
      </c>
      <c r="AO58" s="275">
        <f t="shared" si="35"/>
        <v>100</v>
      </c>
    </row>
    <row r="59" spans="1:41" ht="15.75">
      <c r="B59" s="37">
        <v>38</v>
      </c>
      <c r="C59" s="131" t="s">
        <v>155</v>
      </c>
      <c r="D59" s="132">
        <f>SUM(D60)</f>
        <v>20000</v>
      </c>
      <c r="E59" s="132">
        <f t="shared" ref="E59:AN59" si="51">SUM(E60)</f>
        <v>20000</v>
      </c>
      <c r="F59" s="132">
        <f t="shared" si="51"/>
        <v>0</v>
      </c>
      <c r="G59" s="132">
        <f t="shared" si="51"/>
        <v>0</v>
      </c>
      <c r="H59" s="132">
        <f t="shared" si="51"/>
        <v>0</v>
      </c>
      <c r="I59" s="132">
        <f t="shared" si="51"/>
        <v>0</v>
      </c>
      <c r="J59" s="132">
        <f t="shared" si="51"/>
        <v>0</v>
      </c>
      <c r="K59" s="132">
        <f>SUM(K60)</f>
        <v>20000</v>
      </c>
      <c r="L59" s="186">
        <f t="shared" si="5"/>
        <v>100</v>
      </c>
      <c r="M59" s="132">
        <f t="shared" si="51"/>
        <v>20000</v>
      </c>
      <c r="N59" s="132">
        <f t="shared" si="51"/>
        <v>0</v>
      </c>
      <c r="O59" s="132">
        <f t="shared" si="51"/>
        <v>0</v>
      </c>
      <c r="P59" s="132">
        <f t="shared" si="51"/>
        <v>0</v>
      </c>
      <c r="Q59" s="174">
        <f t="shared" si="51"/>
        <v>0</v>
      </c>
      <c r="R59" s="132">
        <f t="shared" si="51"/>
        <v>0</v>
      </c>
      <c r="S59" s="211">
        <f t="shared" si="51"/>
        <v>20000</v>
      </c>
      <c r="T59" s="186">
        <f t="shared" si="6"/>
        <v>100</v>
      </c>
      <c r="U59" s="132">
        <f t="shared" si="51"/>
        <v>20000</v>
      </c>
      <c r="V59" s="132">
        <f t="shared" si="51"/>
        <v>0</v>
      </c>
      <c r="W59" s="132">
        <f t="shared" si="51"/>
        <v>0</v>
      </c>
      <c r="X59" s="132">
        <f t="shared" si="51"/>
        <v>0</v>
      </c>
      <c r="Y59" s="132">
        <f t="shared" si="51"/>
        <v>0</v>
      </c>
      <c r="Z59" s="132">
        <f t="shared" si="51"/>
        <v>0</v>
      </c>
      <c r="AA59" s="132">
        <f t="shared" si="51"/>
        <v>0</v>
      </c>
      <c r="AB59" s="174">
        <f t="shared" si="51"/>
        <v>0</v>
      </c>
      <c r="AC59" s="132">
        <f t="shared" si="51"/>
        <v>0</v>
      </c>
      <c r="AD59" s="211">
        <f t="shared" si="51"/>
        <v>20000</v>
      </c>
      <c r="AE59" s="245">
        <f t="shared" si="51"/>
        <v>20000</v>
      </c>
      <c r="AF59" s="132">
        <f t="shared" si="51"/>
        <v>0</v>
      </c>
      <c r="AG59" s="132">
        <f t="shared" si="51"/>
        <v>0</v>
      </c>
      <c r="AH59" s="132">
        <f t="shared" si="51"/>
        <v>0</v>
      </c>
      <c r="AI59" s="132">
        <f t="shared" si="51"/>
        <v>0</v>
      </c>
      <c r="AJ59" s="132">
        <f t="shared" si="51"/>
        <v>0</v>
      </c>
      <c r="AK59" s="132">
        <f t="shared" si="51"/>
        <v>0</v>
      </c>
      <c r="AL59" s="174">
        <f t="shared" si="51"/>
        <v>0</v>
      </c>
      <c r="AM59" s="132">
        <f t="shared" si="51"/>
        <v>0</v>
      </c>
      <c r="AN59" s="211">
        <f t="shared" si="51"/>
        <v>20000</v>
      </c>
      <c r="AO59" s="275">
        <f t="shared" si="35"/>
        <v>100</v>
      </c>
    </row>
    <row r="60" spans="1:41" ht="12.75">
      <c r="B60" s="22">
        <v>383</v>
      </c>
      <c r="C60" s="38" t="s">
        <v>156</v>
      </c>
      <c r="D60" s="121">
        <f t="shared" ref="D60:AN60" si="52">SUM(D61)</f>
        <v>20000</v>
      </c>
      <c r="E60" s="121">
        <f t="shared" si="52"/>
        <v>20000</v>
      </c>
      <c r="F60" s="121">
        <f t="shared" si="52"/>
        <v>0</v>
      </c>
      <c r="G60" s="121">
        <f t="shared" si="52"/>
        <v>0</v>
      </c>
      <c r="H60" s="121">
        <f t="shared" si="52"/>
        <v>0</v>
      </c>
      <c r="I60" s="121">
        <f t="shared" si="52"/>
        <v>0</v>
      </c>
      <c r="J60" s="121">
        <f t="shared" si="52"/>
        <v>0</v>
      </c>
      <c r="K60" s="121">
        <f t="shared" si="52"/>
        <v>20000</v>
      </c>
      <c r="L60" s="186">
        <f t="shared" si="5"/>
        <v>100</v>
      </c>
      <c r="M60" s="121">
        <f t="shared" si="52"/>
        <v>20000</v>
      </c>
      <c r="N60" s="121">
        <f t="shared" si="52"/>
        <v>0</v>
      </c>
      <c r="O60" s="121">
        <f t="shared" si="52"/>
        <v>0</v>
      </c>
      <c r="P60" s="121">
        <f t="shared" si="52"/>
        <v>0</v>
      </c>
      <c r="Q60" s="172">
        <f t="shared" si="52"/>
        <v>0</v>
      </c>
      <c r="R60" s="121">
        <f t="shared" si="52"/>
        <v>0</v>
      </c>
      <c r="S60" s="208">
        <f t="shared" si="52"/>
        <v>20000</v>
      </c>
      <c r="T60" s="186">
        <f t="shared" si="6"/>
        <v>100</v>
      </c>
      <c r="U60" s="121">
        <f t="shared" si="52"/>
        <v>20000</v>
      </c>
      <c r="V60" s="121">
        <f t="shared" si="52"/>
        <v>0</v>
      </c>
      <c r="W60" s="121">
        <f t="shared" si="52"/>
        <v>0</v>
      </c>
      <c r="X60" s="121">
        <f t="shared" si="52"/>
        <v>0</v>
      </c>
      <c r="Y60" s="121">
        <f t="shared" si="52"/>
        <v>0</v>
      </c>
      <c r="Z60" s="121">
        <f t="shared" si="52"/>
        <v>0</v>
      </c>
      <c r="AA60" s="121">
        <f t="shared" si="52"/>
        <v>0</v>
      </c>
      <c r="AB60" s="172">
        <f t="shared" si="52"/>
        <v>0</v>
      </c>
      <c r="AC60" s="121">
        <f t="shared" si="52"/>
        <v>0</v>
      </c>
      <c r="AD60" s="208">
        <f t="shared" si="52"/>
        <v>20000</v>
      </c>
      <c r="AE60" s="238">
        <f t="shared" si="52"/>
        <v>20000</v>
      </c>
      <c r="AF60" s="121">
        <f t="shared" si="52"/>
        <v>0</v>
      </c>
      <c r="AG60" s="121">
        <f t="shared" si="52"/>
        <v>0</v>
      </c>
      <c r="AH60" s="121">
        <f t="shared" si="52"/>
        <v>0</v>
      </c>
      <c r="AI60" s="121">
        <f t="shared" si="52"/>
        <v>0</v>
      </c>
      <c r="AJ60" s="121">
        <f t="shared" si="52"/>
        <v>0</v>
      </c>
      <c r="AK60" s="121">
        <f t="shared" si="52"/>
        <v>0</v>
      </c>
      <c r="AL60" s="172">
        <f t="shared" si="52"/>
        <v>0</v>
      </c>
      <c r="AM60" s="121">
        <f t="shared" si="52"/>
        <v>0</v>
      </c>
      <c r="AN60" s="208">
        <f t="shared" si="52"/>
        <v>20000</v>
      </c>
      <c r="AO60" s="275">
        <f t="shared" si="35"/>
        <v>100</v>
      </c>
    </row>
    <row r="61" spans="1:41" ht="13.5" thickBot="1">
      <c r="B61" s="283">
        <v>3831</v>
      </c>
      <c r="C61" s="41" t="s">
        <v>157</v>
      </c>
      <c r="D61" s="284">
        <v>20000</v>
      </c>
      <c r="E61" s="150">
        <v>20000</v>
      </c>
      <c r="F61" s="285"/>
      <c r="G61" s="150"/>
      <c r="H61" s="151"/>
      <c r="I61" s="151"/>
      <c r="J61" s="286"/>
      <c r="K61" s="284">
        <v>20000</v>
      </c>
      <c r="L61" s="187">
        <f t="shared" si="5"/>
        <v>100</v>
      </c>
      <c r="M61" s="150">
        <v>20000</v>
      </c>
      <c r="N61" s="285"/>
      <c r="O61" s="150"/>
      <c r="P61" s="151"/>
      <c r="Q61" s="150"/>
      <c r="R61" s="286">
        <f t="shared" ref="R61" si="53">S61-K61</f>
        <v>0</v>
      </c>
      <c r="S61" s="287">
        <v>20000</v>
      </c>
      <c r="T61" s="187">
        <f t="shared" si="6"/>
        <v>100</v>
      </c>
      <c r="U61" s="150">
        <v>20000</v>
      </c>
      <c r="V61" s="285"/>
      <c r="W61" s="150"/>
      <c r="X61" s="151"/>
      <c r="Y61" s="151"/>
      <c r="Z61" s="151"/>
      <c r="AA61" s="288"/>
      <c r="AB61" s="289"/>
      <c r="AC61" s="286"/>
      <c r="AD61" s="290">
        <v>20000</v>
      </c>
      <c r="AE61" s="291">
        <v>20000</v>
      </c>
      <c r="AF61" s="285"/>
      <c r="AG61" s="150"/>
      <c r="AH61" s="151"/>
      <c r="AI61" s="151"/>
      <c r="AJ61" s="151"/>
      <c r="AK61" s="288"/>
      <c r="AL61" s="289"/>
      <c r="AM61" s="286"/>
      <c r="AN61" s="290">
        <v>20000</v>
      </c>
      <c r="AO61" s="292">
        <f t="shared" si="35"/>
        <v>100</v>
      </c>
    </row>
    <row r="62" spans="1:41" ht="26.25">
      <c r="A62" s="1" t="e">
        <f>LEN(#REF!)</f>
        <v>#REF!</v>
      </c>
      <c r="B62" s="299" t="s">
        <v>27</v>
      </c>
      <c r="C62" s="300" t="s">
        <v>26</v>
      </c>
      <c r="D62" s="301">
        <f>D63+D67+D77</f>
        <v>4192250</v>
      </c>
      <c r="E62" s="301">
        <f t="shared" ref="E62:S62" si="54">E63+E67+E77</f>
        <v>0</v>
      </c>
      <c r="F62" s="301">
        <f t="shared" si="54"/>
        <v>0</v>
      </c>
      <c r="G62" s="301">
        <f t="shared" si="54"/>
        <v>0</v>
      </c>
      <c r="H62" s="301">
        <f t="shared" si="54"/>
        <v>842000</v>
      </c>
      <c r="I62" s="301">
        <f t="shared" si="54"/>
        <v>3350250</v>
      </c>
      <c r="J62" s="301">
        <f t="shared" si="54"/>
        <v>1082300</v>
      </c>
      <c r="K62" s="301">
        <f>K63+K67+K77</f>
        <v>5274550</v>
      </c>
      <c r="L62" s="280">
        <f t="shared" si="5"/>
        <v>125.81668555071859</v>
      </c>
      <c r="M62" s="301">
        <f t="shared" si="54"/>
        <v>0</v>
      </c>
      <c r="N62" s="301">
        <f t="shared" si="54"/>
        <v>0</v>
      </c>
      <c r="O62" s="301">
        <f t="shared" si="54"/>
        <v>0</v>
      </c>
      <c r="P62" s="301">
        <f t="shared" si="54"/>
        <v>1674300</v>
      </c>
      <c r="Q62" s="302">
        <f t="shared" si="54"/>
        <v>3600250</v>
      </c>
      <c r="R62" s="301">
        <f t="shared" si="54"/>
        <v>1409450</v>
      </c>
      <c r="S62" s="303">
        <f t="shared" si="54"/>
        <v>6684000</v>
      </c>
      <c r="T62" s="280">
        <f t="shared" si="6"/>
        <v>126.72171085685035</v>
      </c>
      <c r="U62" s="301">
        <f t="shared" ref="U62:AD62" si="55">U63+U67+U77</f>
        <v>0</v>
      </c>
      <c r="V62" s="301">
        <f t="shared" si="55"/>
        <v>0</v>
      </c>
      <c r="W62" s="301">
        <f t="shared" si="55"/>
        <v>0</v>
      </c>
      <c r="X62" s="301">
        <f t="shared" si="55"/>
        <v>0</v>
      </c>
      <c r="Y62" s="301">
        <f t="shared" si="55"/>
        <v>2354000</v>
      </c>
      <c r="Z62" s="304">
        <f t="shared" si="55"/>
        <v>4330000</v>
      </c>
      <c r="AA62" s="304">
        <f t="shared" si="55"/>
        <v>0</v>
      </c>
      <c r="AB62" s="302">
        <f t="shared" si="55"/>
        <v>0</v>
      </c>
      <c r="AC62" s="301">
        <f t="shared" si="55"/>
        <v>-207487.5</v>
      </c>
      <c r="AD62" s="303">
        <f t="shared" si="55"/>
        <v>6476512.5</v>
      </c>
      <c r="AE62" s="305">
        <f t="shared" ref="AE62:AN62" si="56">AE63+AE67+AE77</f>
        <v>0</v>
      </c>
      <c r="AF62" s="301">
        <f t="shared" si="56"/>
        <v>0</v>
      </c>
      <c r="AG62" s="301">
        <f t="shared" si="56"/>
        <v>0</v>
      </c>
      <c r="AH62" s="301">
        <f t="shared" si="56"/>
        <v>0</v>
      </c>
      <c r="AI62" s="301">
        <f t="shared" si="56"/>
        <v>2354000</v>
      </c>
      <c r="AJ62" s="304">
        <f t="shared" si="56"/>
        <v>4330000</v>
      </c>
      <c r="AK62" s="304">
        <f t="shared" si="56"/>
        <v>0</v>
      </c>
      <c r="AL62" s="302">
        <f t="shared" si="56"/>
        <v>0</v>
      </c>
      <c r="AM62" s="301">
        <f t="shared" si="56"/>
        <v>-361750</v>
      </c>
      <c r="AN62" s="303">
        <f t="shared" si="56"/>
        <v>6114762.5</v>
      </c>
      <c r="AO62" s="254">
        <f t="shared" si="35"/>
        <v>94.41443215001901</v>
      </c>
    </row>
    <row r="63" spans="1:41" ht="26.25">
      <c r="A63" s="1" t="e">
        <f>LEN(#REF!)</f>
        <v>#REF!</v>
      </c>
      <c r="B63" s="39" t="s">
        <v>25</v>
      </c>
      <c r="C63" s="139" t="s">
        <v>24</v>
      </c>
      <c r="D63" s="140">
        <f t="shared" ref="D63:AN63" si="57">D64</f>
        <v>25000</v>
      </c>
      <c r="E63" s="140">
        <f t="shared" si="57"/>
        <v>0</v>
      </c>
      <c r="F63" s="140">
        <f t="shared" si="57"/>
        <v>0</v>
      </c>
      <c r="G63" s="140">
        <f t="shared" si="57"/>
        <v>0</v>
      </c>
      <c r="H63" s="140">
        <f t="shared" si="57"/>
        <v>25000</v>
      </c>
      <c r="I63" s="140">
        <f t="shared" si="57"/>
        <v>0</v>
      </c>
      <c r="J63" s="140">
        <f t="shared" si="57"/>
        <v>132500</v>
      </c>
      <c r="K63" s="140">
        <f t="shared" si="57"/>
        <v>157500</v>
      </c>
      <c r="L63" s="186">
        <f t="shared" si="5"/>
        <v>630</v>
      </c>
      <c r="M63" s="140">
        <f t="shared" si="57"/>
        <v>0</v>
      </c>
      <c r="N63" s="140">
        <f t="shared" si="57"/>
        <v>0</v>
      </c>
      <c r="O63" s="140">
        <f t="shared" si="57"/>
        <v>0</v>
      </c>
      <c r="P63" s="140">
        <f t="shared" si="57"/>
        <v>157500</v>
      </c>
      <c r="Q63" s="176">
        <f t="shared" si="57"/>
        <v>0</v>
      </c>
      <c r="R63" s="140">
        <f t="shared" si="57"/>
        <v>0</v>
      </c>
      <c r="S63" s="213">
        <f t="shared" si="57"/>
        <v>157500</v>
      </c>
      <c r="T63" s="186">
        <f t="shared" si="6"/>
        <v>100</v>
      </c>
      <c r="U63" s="140">
        <f t="shared" si="57"/>
        <v>0</v>
      </c>
      <c r="V63" s="140">
        <f t="shared" si="57"/>
        <v>0</v>
      </c>
      <c r="W63" s="140">
        <f t="shared" si="57"/>
        <v>0</v>
      </c>
      <c r="X63" s="140">
        <f t="shared" si="57"/>
        <v>0</v>
      </c>
      <c r="Y63" s="140">
        <f t="shared" si="57"/>
        <v>157500</v>
      </c>
      <c r="Z63" s="140">
        <f t="shared" si="57"/>
        <v>0</v>
      </c>
      <c r="AA63" s="140">
        <f t="shared" si="57"/>
        <v>0</v>
      </c>
      <c r="AB63" s="176">
        <f t="shared" si="57"/>
        <v>0</v>
      </c>
      <c r="AC63" s="140">
        <f t="shared" si="57"/>
        <v>0</v>
      </c>
      <c r="AD63" s="213">
        <f t="shared" si="57"/>
        <v>157500</v>
      </c>
      <c r="AE63" s="247">
        <f t="shared" si="57"/>
        <v>0</v>
      </c>
      <c r="AF63" s="140">
        <f t="shared" si="57"/>
        <v>0</v>
      </c>
      <c r="AG63" s="140">
        <f t="shared" si="57"/>
        <v>0</v>
      </c>
      <c r="AH63" s="140">
        <f t="shared" si="57"/>
        <v>0</v>
      </c>
      <c r="AI63" s="140">
        <f t="shared" si="57"/>
        <v>157500</v>
      </c>
      <c r="AJ63" s="140">
        <f t="shared" si="57"/>
        <v>0</v>
      </c>
      <c r="AK63" s="140">
        <f t="shared" si="57"/>
        <v>0</v>
      </c>
      <c r="AL63" s="176">
        <f t="shared" si="57"/>
        <v>0</v>
      </c>
      <c r="AM63" s="140">
        <f t="shared" si="57"/>
        <v>0</v>
      </c>
      <c r="AN63" s="213">
        <f t="shared" si="57"/>
        <v>157500</v>
      </c>
      <c r="AO63" s="275">
        <f t="shared" si="35"/>
        <v>100</v>
      </c>
    </row>
    <row r="64" spans="1:41" ht="12.75">
      <c r="A64" s="1" t="e">
        <f>LEN(#REF!)</f>
        <v>#REF!</v>
      </c>
      <c r="B64" s="40" t="s">
        <v>23</v>
      </c>
      <c r="C64" s="141" t="s">
        <v>22</v>
      </c>
      <c r="D64" s="142">
        <f>D65+D66</f>
        <v>25000</v>
      </c>
      <c r="E64" s="142">
        <f t="shared" ref="E64:J64" si="58">E65+E66</f>
        <v>0</v>
      </c>
      <c r="F64" s="142">
        <f t="shared" si="58"/>
        <v>0</v>
      </c>
      <c r="G64" s="142">
        <f t="shared" si="58"/>
        <v>0</v>
      </c>
      <c r="H64" s="142">
        <f t="shared" si="58"/>
        <v>25000</v>
      </c>
      <c r="I64" s="142">
        <f t="shared" si="58"/>
        <v>0</v>
      </c>
      <c r="J64" s="142">
        <f t="shared" si="58"/>
        <v>132500</v>
      </c>
      <c r="K64" s="142">
        <f>K65+K66</f>
        <v>157500</v>
      </c>
      <c r="L64" s="186">
        <f t="shared" si="5"/>
        <v>630</v>
      </c>
      <c r="M64" s="142">
        <f t="shared" ref="M64:S64" si="59">M65+M66</f>
        <v>0</v>
      </c>
      <c r="N64" s="142">
        <f t="shared" si="59"/>
        <v>0</v>
      </c>
      <c r="O64" s="142">
        <f t="shared" si="59"/>
        <v>0</v>
      </c>
      <c r="P64" s="142">
        <f t="shared" si="59"/>
        <v>157500</v>
      </c>
      <c r="Q64" s="177">
        <f t="shared" si="59"/>
        <v>0</v>
      </c>
      <c r="R64" s="142">
        <f t="shared" si="59"/>
        <v>0</v>
      </c>
      <c r="S64" s="214">
        <f t="shared" si="59"/>
        <v>157500</v>
      </c>
      <c r="T64" s="186">
        <f t="shared" si="6"/>
        <v>100</v>
      </c>
      <c r="U64" s="142">
        <f t="shared" ref="U64:AD64" si="60">U65+U66</f>
        <v>0</v>
      </c>
      <c r="V64" s="142">
        <f t="shared" si="60"/>
        <v>0</v>
      </c>
      <c r="W64" s="142">
        <f t="shared" si="60"/>
        <v>0</v>
      </c>
      <c r="X64" s="142">
        <f t="shared" si="60"/>
        <v>0</v>
      </c>
      <c r="Y64" s="142">
        <f t="shared" si="60"/>
        <v>157500</v>
      </c>
      <c r="Z64" s="142">
        <f t="shared" si="60"/>
        <v>0</v>
      </c>
      <c r="AA64" s="142">
        <f t="shared" si="60"/>
        <v>0</v>
      </c>
      <c r="AB64" s="177">
        <f t="shared" si="60"/>
        <v>0</v>
      </c>
      <c r="AC64" s="142">
        <f t="shared" si="60"/>
        <v>0</v>
      </c>
      <c r="AD64" s="214">
        <f t="shared" si="60"/>
        <v>157500</v>
      </c>
      <c r="AE64" s="248">
        <f t="shared" ref="AE64:AN64" si="61">AE65+AE66</f>
        <v>0</v>
      </c>
      <c r="AF64" s="142">
        <f t="shared" si="61"/>
        <v>0</v>
      </c>
      <c r="AG64" s="142">
        <f t="shared" si="61"/>
        <v>0</v>
      </c>
      <c r="AH64" s="142">
        <f t="shared" si="61"/>
        <v>0</v>
      </c>
      <c r="AI64" s="142">
        <f t="shared" si="61"/>
        <v>157500</v>
      </c>
      <c r="AJ64" s="142">
        <f t="shared" si="61"/>
        <v>0</v>
      </c>
      <c r="AK64" s="142">
        <f t="shared" si="61"/>
        <v>0</v>
      </c>
      <c r="AL64" s="177">
        <f t="shared" si="61"/>
        <v>0</v>
      </c>
      <c r="AM64" s="142">
        <f t="shared" si="61"/>
        <v>0</v>
      </c>
      <c r="AN64" s="214">
        <f t="shared" si="61"/>
        <v>157500</v>
      </c>
      <c r="AO64" s="275">
        <f t="shared" si="35"/>
        <v>100</v>
      </c>
    </row>
    <row r="65" spans="1:41" ht="12.75">
      <c r="A65" s="1" t="e">
        <f>LEN(#REF!)</f>
        <v>#REF!</v>
      </c>
      <c r="B65" s="28" t="s">
        <v>21</v>
      </c>
      <c r="C65" s="42" t="s">
        <v>20</v>
      </c>
      <c r="D65" s="143">
        <v>25000</v>
      </c>
      <c r="E65" s="117"/>
      <c r="F65" s="118"/>
      <c r="G65" s="117"/>
      <c r="H65" s="119">
        <v>25000</v>
      </c>
      <c r="I65" s="119"/>
      <c r="J65" s="154">
        <v>42500</v>
      </c>
      <c r="K65" s="158">
        <f>25000+42500</f>
        <v>67500</v>
      </c>
      <c r="L65" s="186">
        <f t="shared" si="5"/>
        <v>270</v>
      </c>
      <c r="M65" s="117"/>
      <c r="N65" s="118"/>
      <c r="O65" s="117"/>
      <c r="P65" s="119">
        <f>25000+42500</f>
        <v>67500</v>
      </c>
      <c r="Q65" s="117"/>
      <c r="R65" s="154">
        <f t="shared" ref="R65:R66" si="62">S65-K65</f>
        <v>0</v>
      </c>
      <c r="S65" s="202">
        <v>67500</v>
      </c>
      <c r="T65" s="186">
        <f t="shared" si="6"/>
        <v>100</v>
      </c>
      <c r="U65" s="117"/>
      <c r="V65" s="118"/>
      <c r="W65" s="117"/>
      <c r="X65" s="119"/>
      <c r="Y65" s="119">
        <f>25000+42500</f>
        <v>67500</v>
      </c>
      <c r="Z65" s="119"/>
      <c r="AA65" s="223"/>
      <c r="AB65" s="224"/>
      <c r="AC65" s="154"/>
      <c r="AD65" s="205">
        <v>67500</v>
      </c>
      <c r="AE65" s="239"/>
      <c r="AF65" s="118"/>
      <c r="AG65" s="117"/>
      <c r="AH65" s="119"/>
      <c r="AI65" s="119">
        <f>25000+42500</f>
        <v>67500</v>
      </c>
      <c r="AJ65" s="119"/>
      <c r="AK65" s="223"/>
      <c r="AL65" s="224"/>
      <c r="AM65" s="154"/>
      <c r="AN65" s="205">
        <v>67500</v>
      </c>
      <c r="AO65" s="275">
        <f t="shared" si="35"/>
        <v>100</v>
      </c>
    </row>
    <row r="66" spans="1:41" ht="12.75">
      <c r="B66" s="28">
        <v>4126</v>
      </c>
      <c r="C66" s="42" t="s">
        <v>185</v>
      </c>
      <c r="D66" s="143"/>
      <c r="E66" s="117"/>
      <c r="F66" s="118"/>
      <c r="G66" s="117"/>
      <c r="H66" s="119"/>
      <c r="I66" s="119"/>
      <c r="J66" s="154">
        <v>90000</v>
      </c>
      <c r="K66" s="158">
        <v>90000</v>
      </c>
      <c r="L66" s="186"/>
      <c r="M66" s="117"/>
      <c r="N66" s="118"/>
      <c r="O66" s="117"/>
      <c r="P66" s="119">
        <v>90000</v>
      </c>
      <c r="Q66" s="117"/>
      <c r="R66" s="154">
        <f t="shared" si="62"/>
        <v>0</v>
      </c>
      <c r="S66" s="202">
        <v>90000</v>
      </c>
      <c r="T66" s="186">
        <f t="shared" si="6"/>
        <v>100</v>
      </c>
      <c r="U66" s="117"/>
      <c r="V66" s="118"/>
      <c r="W66" s="117"/>
      <c r="X66" s="119"/>
      <c r="Y66" s="119">
        <v>90000</v>
      </c>
      <c r="Z66" s="119"/>
      <c r="AA66" s="223"/>
      <c r="AB66" s="224"/>
      <c r="AC66" s="154"/>
      <c r="AD66" s="205">
        <v>90000</v>
      </c>
      <c r="AE66" s="239"/>
      <c r="AF66" s="118"/>
      <c r="AG66" s="117"/>
      <c r="AH66" s="119"/>
      <c r="AI66" s="119">
        <v>90000</v>
      </c>
      <c r="AJ66" s="119"/>
      <c r="AK66" s="223"/>
      <c r="AL66" s="224"/>
      <c r="AM66" s="154"/>
      <c r="AN66" s="205">
        <v>90000</v>
      </c>
      <c r="AO66" s="275">
        <f t="shared" si="35"/>
        <v>100</v>
      </c>
    </row>
    <row r="67" spans="1:41" ht="26.25">
      <c r="A67" s="1" t="e">
        <f>LEN(#REF!)</f>
        <v>#REF!</v>
      </c>
      <c r="B67" s="26" t="s">
        <v>19</v>
      </c>
      <c r="C67" s="43" t="s">
        <v>18</v>
      </c>
      <c r="D67" s="140">
        <f>D68+D74</f>
        <v>4095250</v>
      </c>
      <c r="E67" s="140">
        <f t="shared" ref="E67:S67" si="63">E68+E74</f>
        <v>0</v>
      </c>
      <c r="F67" s="140">
        <f t="shared" si="63"/>
        <v>0</v>
      </c>
      <c r="G67" s="140">
        <f t="shared" si="63"/>
        <v>0</v>
      </c>
      <c r="H67" s="140">
        <f t="shared" si="63"/>
        <v>745000</v>
      </c>
      <c r="I67" s="140">
        <f t="shared" si="63"/>
        <v>3350250</v>
      </c>
      <c r="J67" s="140">
        <f t="shared" si="63"/>
        <v>599800</v>
      </c>
      <c r="K67" s="140">
        <f>K68+K74</f>
        <v>4695050</v>
      </c>
      <c r="L67" s="186">
        <f t="shared" si="5"/>
        <v>114.64623649349856</v>
      </c>
      <c r="M67" s="140">
        <f t="shared" si="63"/>
        <v>0</v>
      </c>
      <c r="N67" s="140">
        <f t="shared" si="63"/>
        <v>0</v>
      </c>
      <c r="O67" s="140">
        <f t="shared" si="63"/>
        <v>0</v>
      </c>
      <c r="P67" s="140">
        <f t="shared" si="63"/>
        <v>1444800</v>
      </c>
      <c r="Q67" s="176">
        <f t="shared" si="63"/>
        <v>3250250</v>
      </c>
      <c r="R67" s="140">
        <f t="shared" si="63"/>
        <v>331450</v>
      </c>
      <c r="S67" s="213">
        <f t="shared" si="63"/>
        <v>5026500</v>
      </c>
      <c r="T67" s="186">
        <f t="shared" si="6"/>
        <v>107.05956273096133</v>
      </c>
      <c r="U67" s="140">
        <f t="shared" ref="U67:AD67" si="64">U68+U74</f>
        <v>0</v>
      </c>
      <c r="V67" s="140">
        <f t="shared" si="64"/>
        <v>0</v>
      </c>
      <c r="W67" s="140">
        <f t="shared" si="64"/>
        <v>0</v>
      </c>
      <c r="X67" s="140">
        <f t="shared" si="64"/>
        <v>0</v>
      </c>
      <c r="Y67" s="140">
        <f t="shared" si="64"/>
        <v>1826250</v>
      </c>
      <c r="Z67" s="140">
        <f t="shared" si="64"/>
        <v>3200250</v>
      </c>
      <c r="AA67" s="140">
        <f t="shared" si="64"/>
        <v>0</v>
      </c>
      <c r="AB67" s="176">
        <f t="shared" si="64"/>
        <v>0</v>
      </c>
      <c r="AC67" s="140">
        <f t="shared" si="64"/>
        <v>0</v>
      </c>
      <c r="AD67" s="213">
        <f t="shared" si="64"/>
        <v>5026500</v>
      </c>
      <c r="AE67" s="247">
        <f t="shared" ref="AE67:AN67" si="65">AE68+AE74</f>
        <v>0</v>
      </c>
      <c r="AF67" s="140">
        <f t="shared" si="65"/>
        <v>0</v>
      </c>
      <c r="AG67" s="140">
        <f t="shared" si="65"/>
        <v>0</v>
      </c>
      <c r="AH67" s="140">
        <f t="shared" si="65"/>
        <v>0</v>
      </c>
      <c r="AI67" s="140">
        <f t="shared" si="65"/>
        <v>1826250</v>
      </c>
      <c r="AJ67" s="140">
        <f t="shared" si="65"/>
        <v>3200250</v>
      </c>
      <c r="AK67" s="140">
        <f t="shared" si="65"/>
        <v>0</v>
      </c>
      <c r="AL67" s="176">
        <f t="shared" si="65"/>
        <v>0</v>
      </c>
      <c r="AM67" s="140">
        <f t="shared" si="65"/>
        <v>8500</v>
      </c>
      <c r="AN67" s="213">
        <f t="shared" si="65"/>
        <v>5035000</v>
      </c>
      <c r="AO67" s="275">
        <f t="shared" si="35"/>
        <v>100.16910375012434</v>
      </c>
    </row>
    <row r="68" spans="1:41" ht="12.75">
      <c r="A68" s="1" t="e">
        <f>LEN(#REF!)</f>
        <v>#REF!</v>
      </c>
      <c r="B68" s="27" t="s">
        <v>17</v>
      </c>
      <c r="C68" s="40" t="s">
        <v>16</v>
      </c>
      <c r="D68" s="142">
        <f>SUM(D69:D73)</f>
        <v>4070250</v>
      </c>
      <c r="E68" s="142">
        <f t="shared" ref="E68:S68" si="66">SUM(E69:E73)</f>
        <v>0</v>
      </c>
      <c r="F68" s="142">
        <f t="shared" si="66"/>
        <v>0</v>
      </c>
      <c r="G68" s="142">
        <f t="shared" si="66"/>
        <v>0</v>
      </c>
      <c r="H68" s="142">
        <f t="shared" si="66"/>
        <v>720000</v>
      </c>
      <c r="I68" s="142">
        <f t="shared" si="66"/>
        <v>3350250</v>
      </c>
      <c r="J68" s="142">
        <f t="shared" si="66"/>
        <v>333300</v>
      </c>
      <c r="K68" s="142">
        <f>SUM(K69:K73)</f>
        <v>4403550</v>
      </c>
      <c r="L68" s="186">
        <f t="shared" si="5"/>
        <v>108.18868619863645</v>
      </c>
      <c r="M68" s="142">
        <f t="shared" si="66"/>
        <v>0</v>
      </c>
      <c r="N68" s="142">
        <f t="shared" si="66"/>
        <v>0</v>
      </c>
      <c r="O68" s="142">
        <f t="shared" si="66"/>
        <v>0</v>
      </c>
      <c r="P68" s="142">
        <f t="shared" si="66"/>
        <v>1153300</v>
      </c>
      <c r="Q68" s="177">
        <f t="shared" si="66"/>
        <v>3250250</v>
      </c>
      <c r="R68" s="142">
        <f t="shared" si="66"/>
        <v>331450</v>
      </c>
      <c r="S68" s="214">
        <f t="shared" si="66"/>
        <v>4735000</v>
      </c>
      <c r="T68" s="186">
        <f t="shared" si="6"/>
        <v>107.5268817204301</v>
      </c>
      <c r="U68" s="142">
        <f t="shared" ref="U68:AD68" si="67">SUM(U69:U73)</f>
        <v>0</v>
      </c>
      <c r="V68" s="142">
        <f t="shared" si="67"/>
        <v>0</v>
      </c>
      <c r="W68" s="142">
        <f t="shared" si="67"/>
        <v>0</v>
      </c>
      <c r="X68" s="142">
        <f t="shared" si="67"/>
        <v>0</v>
      </c>
      <c r="Y68" s="142">
        <f t="shared" si="67"/>
        <v>1534750</v>
      </c>
      <c r="Z68" s="142">
        <f t="shared" si="67"/>
        <v>3200250</v>
      </c>
      <c r="AA68" s="142">
        <f t="shared" si="67"/>
        <v>0</v>
      </c>
      <c r="AB68" s="177">
        <f t="shared" si="67"/>
        <v>0</v>
      </c>
      <c r="AC68" s="142">
        <f t="shared" si="67"/>
        <v>0</v>
      </c>
      <c r="AD68" s="214">
        <f t="shared" si="67"/>
        <v>4735000</v>
      </c>
      <c r="AE68" s="248">
        <f t="shared" ref="AE68:AN68" si="68">SUM(AE69:AE73)</f>
        <v>0</v>
      </c>
      <c r="AF68" s="142">
        <f t="shared" si="68"/>
        <v>0</v>
      </c>
      <c r="AG68" s="142">
        <f t="shared" si="68"/>
        <v>0</v>
      </c>
      <c r="AH68" s="142">
        <f t="shared" si="68"/>
        <v>0</v>
      </c>
      <c r="AI68" s="142">
        <f t="shared" si="68"/>
        <v>1534750</v>
      </c>
      <c r="AJ68" s="142">
        <f t="shared" si="68"/>
        <v>3200250</v>
      </c>
      <c r="AK68" s="142">
        <f t="shared" si="68"/>
        <v>0</v>
      </c>
      <c r="AL68" s="177">
        <f t="shared" si="68"/>
        <v>0</v>
      </c>
      <c r="AM68" s="142">
        <f t="shared" si="68"/>
        <v>0</v>
      </c>
      <c r="AN68" s="214">
        <f t="shared" si="68"/>
        <v>4735000</v>
      </c>
      <c r="AO68" s="275">
        <f t="shared" si="35"/>
        <v>100</v>
      </c>
    </row>
    <row r="69" spans="1:41" ht="12.75">
      <c r="A69" s="1" t="e">
        <f>LEN(#REF!)</f>
        <v>#REF!</v>
      </c>
      <c r="B69" s="28" t="s">
        <v>15</v>
      </c>
      <c r="C69" s="44" t="s">
        <v>14</v>
      </c>
      <c r="D69" s="143">
        <v>100000</v>
      </c>
      <c r="E69" s="117"/>
      <c r="F69" s="118"/>
      <c r="G69" s="117"/>
      <c r="H69" s="119">
        <v>100000</v>
      </c>
      <c r="I69" s="119"/>
      <c r="J69" s="154">
        <f>230000+5000</f>
        <v>235000</v>
      </c>
      <c r="K69" s="158">
        <f>100000+235000</f>
        <v>335000</v>
      </c>
      <c r="L69" s="186">
        <f t="shared" si="5"/>
        <v>335</v>
      </c>
      <c r="M69" s="117"/>
      <c r="N69" s="118"/>
      <c r="O69" s="117"/>
      <c r="P69" s="119">
        <f>100000+235000</f>
        <v>335000</v>
      </c>
      <c r="Q69" s="117"/>
      <c r="R69" s="154">
        <f t="shared" ref="R69:R73" si="69">S69-K69</f>
        <v>0</v>
      </c>
      <c r="S69" s="202">
        <v>335000</v>
      </c>
      <c r="T69" s="186">
        <f t="shared" si="6"/>
        <v>100</v>
      </c>
      <c r="U69" s="117"/>
      <c r="V69" s="118"/>
      <c r="W69" s="117"/>
      <c r="X69" s="119"/>
      <c r="Y69" s="119">
        <f>100000+235000</f>
        <v>335000</v>
      </c>
      <c r="Z69" s="119"/>
      <c r="AA69" s="223"/>
      <c r="AB69" s="224"/>
      <c r="AC69" s="154"/>
      <c r="AD69" s="205">
        <v>335000</v>
      </c>
      <c r="AE69" s="239"/>
      <c r="AF69" s="118"/>
      <c r="AG69" s="117"/>
      <c r="AH69" s="119"/>
      <c r="AI69" s="119">
        <f>100000+235000</f>
        <v>335000</v>
      </c>
      <c r="AJ69" s="119"/>
      <c r="AK69" s="223"/>
      <c r="AL69" s="224"/>
      <c r="AM69" s="154"/>
      <c r="AN69" s="205">
        <v>335000</v>
      </c>
      <c r="AO69" s="275">
        <f t="shared" si="35"/>
        <v>100</v>
      </c>
    </row>
    <row r="70" spans="1:41" ht="12.75">
      <c r="A70" s="1" t="e">
        <f>LEN(#REF!)</f>
        <v>#REF!</v>
      </c>
      <c r="B70" s="28" t="s">
        <v>13</v>
      </c>
      <c r="C70" s="44" t="s">
        <v>12</v>
      </c>
      <c r="D70" s="143">
        <v>50000</v>
      </c>
      <c r="E70" s="117"/>
      <c r="F70" s="118"/>
      <c r="G70" s="117"/>
      <c r="H70" s="119">
        <v>50000</v>
      </c>
      <c r="I70" s="119"/>
      <c r="J70" s="154">
        <v>-10000</v>
      </c>
      <c r="K70" s="158">
        <f>50000-10000</f>
        <v>40000</v>
      </c>
      <c r="L70" s="186">
        <f t="shared" si="5"/>
        <v>80</v>
      </c>
      <c r="M70" s="117"/>
      <c r="N70" s="118"/>
      <c r="O70" s="117"/>
      <c r="P70" s="200">
        <f>50000-10000</f>
        <v>40000</v>
      </c>
      <c r="Q70" s="117"/>
      <c r="R70" s="154">
        <f t="shared" si="69"/>
        <v>0</v>
      </c>
      <c r="S70" s="202">
        <v>40000</v>
      </c>
      <c r="T70" s="186">
        <f t="shared" si="6"/>
        <v>100</v>
      </c>
      <c r="U70" s="117"/>
      <c r="V70" s="118"/>
      <c r="W70" s="117"/>
      <c r="X70" s="119"/>
      <c r="Y70" s="200">
        <f>50000-10000</f>
        <v>40000</v>
      </c>
      <c r="Z70" s="119"/>
      <c r="AA70" s="223"/>
      <c r="AB70" s="224"/>
      <c r="AC70" s="154"/>
      <c r="AD70" s="205">
        <v>40000</v>
      </c>
      <c r="AE70" s="239"/>
      <c r="AF70" s="118"/>
      <c r="AG70" s="117"/>
      <c r="AH70" s="119"/>
      <c r="AI70" s="200">
        <f>50000-10000</f>
        <v>40000</v>
      </c>
      <c r="AJ70" s="119"/>
      <c r="AK70" s="223"/>
      <c r="AL70" s="224"/>
      <c r="AM70" s="154"/>
      <c r="AN70" s="205">
        <v>40000</v>
      </c>
      <c r="AO70" s="275">
        <f t="shared" si="35"/>
        <v>100</v>
      </c>
    </row>
    <row r="71" spans="1:41" ht="12.75">
      <c r="A71" s="1" t="e">
        <f>LEN(#REF!)</f>
        <v>#REF!</v>
      </c>
      <c r="B71" s="28" t="s">
        <v>11</v>
      </c>
      <c r="C71" s="44" t="s">
        <v>10</v>
      </c>
      <c r="D71" s="143">
        <v>20000</v>
      </c>
      <c r="E71" s="117"/>
      <c r="F71" s="118"/>
      <c r="G71" s="117"/>
      <c r="H71" s="119">
        <v>20000</v>
      </c>
      <c r="I71" s="119"/>
      <c r="J71" s="154">
        <f>46000</f>
        <v>46000</v>
      </c>
      <c r="K71" s="158">
        <f>20000+46000</f>
        <v>66000</v>
      </c>
      <c r="L71" s="186">
        <f t="shared" si="5"/>
        <v>330</v>
      </c>
      <c r="M71" s="117"/>
      <c r="N71" s="118"/>
      <c r="O71" s="117"/>
      <c r="P71" s="200">
        <f>20000+46000</f>
        <v>66000</v>
      </c>
      <c r="Q71" s="117"/>
      <c r="R71" s="154">
        <f t="shared" si="69"/>
        <v>14000</v>
      </c>
      <c r="S71" s="209">
        <v>80000</v>
      </c>
      <c r="T71" s="186">
        <f t="shared" si="6"/>
        <v>121.21212121212122</v>
      </c>
      <c r="U71" s="117"/>
      <c r="V71" s="118"/>
      <c r="W71" s="117"/>
      <c r="X71" s="119"/>
      <c r="Y71" s="200">
        <f>20000+46000+14000</f>
        <v>80000</v>
      </c>
      <c r="Z71" s="119"/>
      <c r="AA71" s="223"/>
      <c r="AB71" s="224"/>
      <c r="AC71" s="154"/>
      <c r="AD71" s="255">
        <v>80000</v>
      </c>
      <c r="AE71" s="239"/>
      <c r="AF71" s="118"/>
      <c r="AG71" s="117"/>
      <c r="AH71" s="119"/>
      <c r="AI71" s="200">
        <f>20000+46000+14000</f>
        <v>80000</v>
      </c>
      <c r="AJ71" s="119"/>
      <c r="AK71" s="223"/>
      <c r="AL71" s="224"/>
      <c r="AM71" s="154"/>
      <c r="AN71" s="255">
        <v>80000</v>
      </c>
      <c r="AO71" s="275">
        <f t="shared" ref="AO71:AO102" si="70">AN71/AD71*100</f>
        <v>100</v>
      </c>
    </row>
    <row r="72" spans="1:41" ht="12.75">
      <c r="A72" s="1" t="e">
        <f>LEN(#REF!)</f>
        <v>#REF!</v>
      </c>
      <c r="B72" s="28" t="s">
        <v>9</v>
      </c>
      <c r="C72" s="44" t="s">
        <v>8</v>
      </c>
      <c r="D72" s="143">
        <v>3800250</v>
      </c>
      <c r="E72" s="117"/>
      <c r="F72" s="118"/>
      <c r="G72" s="117"/>
      <c r="H72" s="119">
        <v>450000</v>
      </c>
      <c r="I72" s="119">
        <f>3200250+150000</f>
        <v>3350250</v>
      </c>
      <c r="J72" s="154">
        <f>300000-60000+10000-169000+1300</f>
        <v>82300</v>
      </c>
      <c r="K72" s="158">
        <f>3800250+250000-169000+1300</f>
        <v>3882550</v>
      </c>
      <c r="L72" s="186">
        <f t="shared" ref="L72:L84" si="71">K72/D72*100</f>
        <v>102.16564699690809</v>
      </c>
      <c r="M72" s="117"/>
      <c r="N72" s="118"/>
      <c r="O72" s="117"/>
      <c r="P72" s="200">
        <f>450000+300000-60000+50000+50000+10000-169000+1300</f>
        <v>632300</v>
      </c>
      <c r="Q72" s="117">
        <f>3200250+100000-50000</f>
        <v>3250250</v>
      </c>
      <c r="R72" s="154">
        <f t="shared" si="69"/>
        <v>317450</v>
      </c>
      <c r="S72" s="209">
        <v>4200000</v>
      </c>
      <c r="T72" s="186">
        <f t="shared" ref="T72:T84" si="72">S72/K72*100</f>
        <v>108.17632741368431</v>
      </c>
      <c r="U72" s="117"/>
      <c r="V72" s="118"/>
      <c r="W72" s="117"/>
      <c r="X72" s="119"/>
      <c r="Y72" s="200">
        <f>799750+150000+50000</f>
        <v>999750</v>
      </c>
      <c r="Z72" s="119">
        <v>3200250</v>
      </c>
      <c r="AA72" s="223"/>
      <c r="AB72" s="224"/>
      <c r="AC72" s="154"/>
      <c r="AD72" s="255">
        <v>4200000</v>
      </c>
      <c r="AE72" s="239"/>
      <c r="AF72" s="118"/>
      <c r="AG72" s="117"/>
      <c r="AH72" s="119"/>
      <c r="AI72" s="200">
        <f>799750+150000+50000</f>
        <v>999750</v>
      </c>
      <c r="AJ72" s="119">
        <v>3200250</v>
      </c>
      <c r="AK72" s="223"/>
      <c r="AL72" s="224"/>
      <c r="AM72" s="154"/>
      <c r="AN72" s="255">
        <v>4200000</v>
      </c>
      <c r="AO72" s="275">
        <f t="shared" si="70"/>
        <v>100</v>
      </c>
    </row>
    <row r="73" spans="1:41" ht="12.75">
      <c r="A73" s="1" t="e">
        <f>LEN(#REF!)</f>
        <v>#REF!</v>
      </c>
      <c r="B73" s="28" t="s">
        <v>7</v>
      </c>
      <c r="C73" s="44" t="s">
        <v>151</v>
      </c>
      <c r="D73" s="143">
        <v>100000</v>
      </c>
      <c r="E73" s="117"/>
      <c r="F73" s="118"/>
      <c r="G73" s="117"/>
      <c r="H73" s="119">
        <v>100000</v>
      </c>
      <c r="I73" s="119"/>
      <c r="J73" s="154">
        <v>-20000</v>
      </c>
      <c r="K73" s="158">
        <f>100000-20000</f>
        <v>80000</v>
      </c>
      <c r="L73" s="186">
        <f t="shared" si="71"/>
        <v>80</v>
      </c>
      <c r="M73" s="117"/>
      <c r="N73" s="118"/>
      <c r="O73" s="117"/>
      <c r="P73" s="200">
        <f>100000-20000</f>
        <v>80000</v>
      </c>
      <c r="Q73" s="117"/>
      <c r="R73" s="154">
        <f t="shared" si="69"/>
        <v>0</v>
      </c>
      <c r="S73" s="202">
        <v>80000</v>
      </c>
      <c r="T73" s="186">
        <f t="shared" si="72"/>
        <v>100</v>
      </c>
      <c r="U73" s="117"/>
      <c r="V73" s="118"/>
      <c r="W73" s="117"/>
      <c r="X73" s="119"/>
      <c r="Y73" s="200">
        <f>100000-20000</f>
        <v>80000</v>
      </c>
      <c r="Z73" s="119"/>
      <c r="AA73" s="223"/>
      <c r="AB73" s="224"/>
      <c r="AC73" s="154"/>
      <c r="AD73" s="205">
        <v>80000</v>
      </c>
      <c r="AE73" s="239"/>
      <c r="AF73" s="118"/>
      <c r="AG73" s="117"/>
      <c r="AH73" s="119"/>
      <c r="AI73" s="200">
        <f>100000-20000</f>
        <v>80000</v>
      </c>
      <c r="AJ73" s="119"/>
      <c r="AK73" s="223"/>
      <c r="AL73" s="224"/>
      <c r="AM73" s="154"/>
      <c r="AN73" s="205">
        <v>80000</v>
      </c>
      <c r="AO73" s="275">
        <f t="shared" si="70"/>
        <v>100</v>
      </c>
    </row>
    <row r="74" spans="1:41" ht="12.75">
      <c r="A74" s="1" t="e">
        <f>LEN(#REF!)</f>
        <v>#REF!</v>
      </c>
      <c r="B74" s="27" t="s">
        <v>6</v>
      </c>
      <c r="C74" s="40" t="s">
        <v>152</v>
      </c>
      <c r="D74" s="144">
        <f t="shared" ref="D74:Q74" si="73">SUM(D75:D76)</f>
        <v>25000</v>
      </c>
      <c r="E74" s="144">
        <f t="shared" si="73"/>
        <v>0</v>
      </c>
      <c r="F74" s="144">
        <f t="shared" si="73"/>
        <v>0</v>
      </c>
      <c r="G74" s="144">
        <f t="shared" si="73"/>
        <v>0</v>
      </c>
      <c r="H74" s="144">
        <f t="shared" si="73"/>
        <v>25000</v>
      </c>
      <c r="I74" s="144">
        <f t="shared" si="73"/>
        <v>0</v>
      </c>
      <c r="J74" s="144">
        <f t="shared" si="73"/>
        <v>266500</v>
      </c>
      <c r="K74" s="144">
        <f t="shared" ref="K74" si="74">SUM(K75:K76)</f>
        <v>291500</v>
      </c>
      <c r="L74" s="186">
        <f t="shared" si="71"/>
        <v>1166</v>
      </c>
      <c r="M74" s="144">
        <f t="shared" si="73"/>
        <v>0</v>
      </c>
      <c r="N74" s="144">
        <f t="shared" si="73"/>
        <v>0</v>
      </c>
      <c r="O74" s="144">
        <f t="shared" si="73"/>
        <v>0</v>
      </c>
      <c r="P74" s="144">
        <f t="shared" si="73"/>
        <v>291500</v>
      </c>
      <c r="Q74" s="178">
        <f t="shared" si="73"/>
        <v>0</v>
      </c>
      <c r="R74" s="144">
        <f t="shared" ref="R74:S74" si="75">SUM(R75:R76)</f>
        <v>0</v>
      </c>
      <c r="S74" s="215">
        <f t="shared" si="75"/>
        <v>291500</v>
      </c>
      <c r="T74" s="186">
        <f t="shared" si="72"/>
        <v>100</v>
      </c>
      <c r="U74" s="144">
        <f t="shared" ref="U74:AD74" si="76">SUM(U75:U76)</f>
        <v>0</v>
      </c>
      <c r="V74" s="144">
        <f t="shared" si="76"/>
        <v>0</v>
      </c>
      <c r="W74" s="144">
        <f t="shared" si="76"/>
        <v>0</v>
      </c>
      <c r="X74" s="144">
        <f t="shared" si="76"/>
        <v>0</v>
      </c>
      <c r="Y74" s="144">
        <f t="shared" si="76"/>
        <v>291500</v>
      </c>
      <c r="Z74" s="144">
        <f t="shared" si="76"/>
        <v>0</v>
      </c>
      <c r="AA74" s="144">
        <f t="shared" si="76"/>
        <v>0</v>
      </c>
      <c r="AB74" s="178">
        <f t="shared" si="76"/>
        <v>0</v>
      </c>
      <c r="AC74" s="144">
        <f t="shared" si="76"/>
        <v>0</v>
      </c>
      <c r="AD74" s="215">
        <f t="shared" si="76"/>
        <v>291500</v>
      </c>
      <c r="AE74" s="249">
        <f t="shared" ref="AE74:AN74" si="77">SUM(AE75:AE76)</f>
        <v>0</v>
      </c>
      <c r="AF74" s="144">
        <f t="shared" si="77"/>
        <v>0</v>
      </c>
      <c r="AG74" s="144">
        <f t="shared" si="77"/>
        <v>0</v>
      </c>
      <c r="AH74" s="144">
        <f t="shared" si="77"/>
        <v>0</v>
      </c>
      <c r="AI74" s="144">
        <f t="shared" si="77"/>
        <v>291500</v>
      </c>
      <c r="AJ74" s="144">
        <f t="shared" si="77"/>
        <v>0</v>
      </c>
      <c r="AK74" s="144">
        <f t="shared" si="77"/>
        <v>0</v>
      </c>
      <c r="AL74" s="178">
        <f t="shared" si="77"/>
        <v>0</v>
      </c>
      <c r="AM74" s="144">
        <f t="shared" si="77"/>
        <v>8500</v>
      </c>
      <c r="AN74" s="215">
        <f t="shared" si="77"/>
        <v>300000</v>
      </c>
      <c r="AO74" s="275">
        <f t="shared" si="70"/>
        <v>102.91595197255575</v>
      </c>
    </row>
    <row r="75" spans="1:41" ht="12.75">
      <c r="A75" s="1" t="e">
        <f>LEN(#REF!)</f>
        <v>#REF!</v>
      </c>
      <c r="B75" s="28" t="s">
        <v>5</v>
      </c>
      <c r="C75" s="44" t="s">
        <v>4</v>
      </c>
      <c r="D75" s="143">
        <v>25000</v>
      </c>
      <c r="E75" s="117"/>
      <c r="F75" s="118"/>
      <c r="G75" s="117"/>
      <c r="H75" s="119">
        <v>25000</v>
      </c>
      <c r="I75" s="119"/>
      <c r="J75" s="154">
        <v>266500</v>
      </c>
      <c r="K75" s="158">
        <f>25000+266500</f>
        <v>291500</v>
      </c>
      <c r="L75" s="186">
        <f t="shared" si="71"/>
        <v>1166</v>
      </c>
      <c r="M75" s="117"/>
      <c r="N75" s="118"/>
      <c r="O75" s="117"/>
      <c r="P75" s="200">
        <v>291500</v>
      </c>
      <c r="Q75" s="117"/>
      <c r="R75" s="154">
        <f t="shared" ref="R75:R76" si="78">S75-K75</f>
        <v>0</v>
      </c>
      <c r="S75" s="202">
        <v>291500</v>
      </c>
      <c r="T75" s="186">
        <f t="shared" si="72"/>
        <v>100</v>
      </c>
      <c r="U75" s="117"/>
      <c r="V75" s="118"/>
      <c r="W75" s="117"/>
      <c r="X75" s="119"/>
      <c r="Y75" s="200">
        <v>291500</v>
      </c>
      <c r="Z75" s="119"/>
      <c r="AA75" s="223"/>
      <c r="AB75" s="224"/>
      <c r="AC75" s="154"/>
      <c r="AD75" s="205">
        <v>291500</v>
      </c>
      <c r="AE75" s="239"/>
      <c r="AF75" s="118"/>
      <c r="AG75" s="117"/>
      <c r="AH75" s="119"/>
      <c r="AI75" s="200">
        <v>291500</v>
      </c>
      <c r="AJ75" s="119"/>
      <c r="AK75" s="223"/>
      <c r="AL75" s="224"/>
      <c r="AM75" s="154">
        <v>8500</v>
      </c>
      <c r="AN75" s="205">
        <f>291500+AM75</f>
        <v>300000</v>
      </c>
      <c r="AO75" s="275">
        <f t="shared" si="70"/>
        <v>102.91595197255575</v>
      </c>
    </row>
    <row r="76" spans="1:41" ht="12.75">
      <c r="A76" s="1" t="e">
        <f>LEN(#REF!)</f>
        <v>#REF!</v>
      </c>
      <c r="B76" s="28" t="s">
        <v>179</v>
      </c>
      <c r="C76" s="44" t="s">
        <v>180</v>
      </c>
      <c r="D76" s="143">
        <v>0</v>
      </c>
      <c r="E76" s="117"/>
      <c r="F76" s="118"/>
      <c r="G76" s="117"/>
      <c r="H76" s="119"/>
      <c r="I76" s="119"/>
      <c r="J76" s="154"/>
      <c r="K76" s="143">
        <v>0</v>
      </c>
      <c r="L76" s="186"/>
      <c r="M76" s="117"/>
      <c r="N76" s="118"/>
      <c r="O76" s="117"/>
      <c r="P76" s="119"/>
      <c r="Q76" s="117"/>
      <c r="R76" s="154">
        <f t="shared" si="78"/>
        <v>0</v>
      </c>
      <c r="S76" s="202"/>
      <c r="T76" s="186" t="e">
        <f t="shared" si="72"/>
        <v>#DIV/0!</v>
      </c>
      <c r="U76" s="117"/>
      <c r="V76" s="118"/>
      <c r="W76" s="117"/>
      <c r="X76" s="119"/>
      <c r="Y76" s="119"/>
      <c r="Z76" s="119"/>
      <c r="AA76" s="223"/>
      <c r="AB76" s="224"/>
      <c r="AC76" s="154"/>
      <c r="AD76" s="205"/>
      <c r="AE76" s="239"/>
      <c r="AF76" s="118"/>
      <c r="AG76" s="117"/>
      <c r="AH76" s="119"/>
      <c r="AI76" s="119"/>
      <c r="AJ76" s="119"/>
      <c r="AK76" s="223"/>
      <c r="AL76" s="224"/>
      <c r="AM76" s="154"/>
      <c r="AN76" s="205"/>
      <c r="AO76" s="275"/>
    </row>
    <row r="77" spans="1:41" ht="26.25">
      <c r="B77" s="48">
        <v>45</v>
      </c>
      <c r="C77" s="139" t="s">
        <v>158</v>
      </c>
      <c r="D77" s="140">
        <f t="shared" ref="D77:S78" si="79">D78</f>
        <v>72000</v>
      </c>
      <c r="E77" s="140">
        <f t="shared" si="79"/>
        <v>0</v>
      </c>
      <c r="F77" s="140">
        <f t="shared" si="79"/>
        <v>0</v>
      </c>
      <c r="G77" s="140">
        <f t="shared" si="79"/>
        <v>0</v>
      </c>
      <c r="H77" s="140">
        <f t="shared" si="79"/>
        <v>72000</v>
      </c>
      <c r="I77" s="140">
        <f t="shared" si="79"/>
        <v>0</v>
      </c>
      <c r="J77" s="140">
        <f t="shared" si="79"/>
        <v>350000</v>
      </c>
      <c r="K77" s="140">
        <f t="shared" si="79"/>
        <v>422000</v>
      </c>
      <c r="L77" s="186">
        <f t="shared" si="71"/>
        <v>586.11111111111109</v>
      </c>
      <c r="M77" s="140">
        <f t="shared" si="79"/>
        <v>0</v>
      </c>
      <c r="N77" s="140">
        <f t="shared" si="79"/>
        <v>0</v>
      </c>
      <c r="O77" s="140">
        <f t="shared" si="79"/>
        <v>0</v>
      </c>
      <c r="P77" s="140">
        <f t="shared" si="79"/>
        <v>72000</v>
      </c>
      <c r="Q77" s="176">
        <f t="shared" si="79"/>
        <v>350000</v>
      </c>
      <c r="R77" s="140">
        <f t="shared" si="79"/>
        <v>1078000</v>
      </c>
      <c r="S77" s="213">
        <f t="shared" si="79"/>
        <v>1500000</v>
      </c>
      <c r="T77" s="186">
        <f t="shared" si="72"/>
        <v>355.45023696682466</v>
      </c>
      <c r="U77" s="140">
        <f t="shared" ref="U77:AI78" si="80">U78</f>
        <v>0</v>
      </c>
      <c r="V77" s="140">
        <f t="shared" si="80"/>
        <v>0</v>
      </c>
      <c r="W77" s="140">
        <f t="shared" si="80"/>
        <v>0</v>
      </c>
      <c r="X77" s="140">
        <f t="shared" si="80"/>
        <v>0</v>
      </c>
      <c r="Y77" s="140">
        <f t="shared" si="80"/>
        <v>370250</v>
      </c>
      <c r="Z77" s="140">
        <f t="shared" si="80"/>
        <v>1129750</v>
      </c>
      <c r="AA77" s="140">
        <f t="shared" si="80"/>
        <v>0</v>
      </c>
      <c r="AB77" s="176">
        <f t="shared" si="80"/>
        <v>0</v>
      </c>
      <c r="AC77" s="140">
        <f t="shared" si="80"/>
        <v>-207487.5</v>
      </c>
      <c r="AD77" s="213">
        <f t="shared" si="80"/>
        <v>1292512.5</v>
      </c>
      <c r="AE77" s="247">
        <f t="shared" si="80"/>
        <v>0</v>
      </c>
      <c r="AF77" s="140">
        <f t="shared" si="80"/>
        <v>0</v>
      </c>
      <c r="AG77" s="140">
        <f t="shared" si="80"/>
        <v>0</v>
      </c>
      <c r="AH77" s="140">
        <f t="shared" si="80"/>
        <v>0</v>
      </c>
      <c r="AI77" s="140">
        <f t="shared" si="80"/>
        <v>370250</v>
      </c>
      <c r="AJ77" s="140">
        <f t="shared" ref="AJ77:AN78" si="81">AJ78</f>
        <v>1129750</v>
      </c>
      <c r="AK77" s="140">
        <f t="shared" si="81"/>
        <v>0</v>
      </c>
      <c r="AL77" s="176">
        <f t="shared" si="81"/>
        <v>0</v>
      </c>
      <c r="AM77" s="140">
        <f t="shared" si="81"/>
        <v>-370250</v>
      </c>
      <c r="AN77" s="213">
        <f t="shared" si="81"/>
        <v>922262.5</v>
      </c>
      <c r="AO77" s="275">
        <f t="shared" ref="AO77:AO84" si="82">AN77/AD77*100</f>
        <v>71.354242222028802</v>
      </c>
    </row>
    <row r="78" spans="1:41" ht="24">
      <c r="B78" s="49">
        <v>451</v>
      </c>
      <c r="C78" s="141" t="s">
        <v>159</v>
      </c>
      <c r="D78" s="142">
        <f t="shared" si="79"/>
        <v>72000</v>
      </c>
      <c r="E78" s="142">
        <f t="shared" si="79"/>
        <v>0</v>
      </c>
      <c r="F78" s="142">
        <f t="shared" si="79"/>
        <v>0</v>
      </c>
      <c r="G78" s="142">
        <f t="shared" si="79"/>
        <v>0</v>
      </c>
      <c r="H78" s="142">
        <f t="shared" si="79"/>
        <v>72000</v>
      </c>
      <c r="I78" s="142">
        <f t="shared" si="79"/>
        <v>0</v>
      </c>
      <c r="J78" s="142">
        <f t="shared" si="79"/>
        <v>350000</v>
      </c>
      <c r="K78" s="142">
        <f t="shared" si="79"/>
        <v>422000</v>
      </c>
      <c r="L78" s="186">
        <f t="shared" si="71"/>
        <v>586.11111111111109</v>
      </c>
      <c r="M78" s="142">
        <f t="shared" si="79"/>
        <v>0</v>
      </c>
      <c r="N78" s="142">
        <f t="shared" si="79"/>
        <v>0</v>
      </c>
      <c r="O78" s="142">
        <f t="shared" si="79"/>
        <v>0</v>
      </c>
      <c r="P78" s="142">
        <f t="shared" si="79"/>
        <v>72000</v>
      </c>
      <c r="Q78" s="177">
        <f t="shared" si="79"/>
        <v>350000</v>
      </c>
      <c r="R78" s="142">
        <f t="shared" si="79"/>
        <v>1078000</v>
      </c>
      <c r="S78" s="214">
        <f t="shared" si="79"/>
        <v>1500000</v>
      </c>
      <c r="T78" s="186">
        <f t="shared" si="72"/>
        <v>355.45023696682466</v>
      </c>
      <c r="U78" s="142">
        <f t="shared" si="80"/>
        <v>0</v>
      </c>
      <c r="V78" s="142">
        <f t="shared" si="80"/>
        <v>0</v>
      </c>
      <c r="W78" s="142">
        <f t="shared" si="80"/>
        <v>0</v>
      </c>
      <c r="X78" s="142">
        <f t="shared" si="80"/>
        <v>0</v>
      </c>
      <c r="Y78" s="142">
        <f t="shared" si="80"/>
        <v>370250</v>
      </c>
      <c r="Z78" s="142">
        <f t="shared" si="80"/>
        <v>1129750</v>
      </c>
      <c r="AA78" s="142">
        <f t="shared" si="80"/>
        <v>0</v>
      </c>
      <c r="AB78" s="177">
        <f t="shared" si="80"/>
        <v>0</v>
      </c>
      <c r="AC78" s="142">
        <f t="shared" si="80"/>
        <v>-207487.5</v>
      </c>
      <c r="AD78" s="214">
        <f t="shared" si="80"/>
        <v>1292512.5</v>
      </c>
      <c r="AE78" s="248">
        <f t="shared" si="80"/>
        <v>0</v>
      </c>
      <c r="AF78" s="142">
        <f t="shared" si="80"/>
        <v>0</v>
      </c>
      <c r="AG78" s="142">
        <f t="shared" si="80"/>
        <v>0</v>
      </c>
      <c r="AH78" s="142">
        <f t="shared" si="80"/>
        <v>0</v>
      </c>
      <c r="AI78" s="142">
        <f t="shared" si="80"/>
        <v>370250</v>
      </c>
      <c r="AJ78" s="142">
        <f t="shared" si="81"/>
        <v>1129750</v>
      </c>
      <c r="AK78" s="142">
        <f t="shared" si="81"/>
        <v>0</v>
      </c>
      <c r="AL78" s="177">
        <f t="shared" si="81"/>
        <v>0</v>
      </c>
      <c r="AM78" s="142">
        <f t="shared" ref="AM78" si="83">AM79</f>
        <v>-370250</v>
      </c>
      <c r="AN78" s="214">
        <f t="shared" si="81"/>
        <v>922262.5</v>
      </c>
      <c r="AO78" s="275">
        <f t="shared" si="82"/>
        <v>71.354242222028802</v>
      </c>
    </row>
    <row r="79" spans="1:41" ht="13.5" thickBot="1">
      <c r="B79" s="306">
        <v>4511</v>
      </c>
      <c r="C79" s="307" t="s">
        <v>159</v>
      </c>
      <c r="D79" s="308">
        <v>72000</v>
      </c>
      <c r="E79" s="148"/>
      <c r="F79" s="309"/>
      <c r="G79" s="148"/>
      <c r="H79" s="310">
        <v>72000</v>
      </c>
      <c r="I79" s="310"/>
      <c r="J79" s="311">
        <v>350000</v>
      </c>
      <c r="K79" s="312">
        <f>72000+350000</f>
        <v>422000</v>
      </c>
      <c r="L79" s="276">
        <f t="shared" si="71"/>
        <v>586.11111111111109</v>
      </c>
      <c r="M79" s="148"/>
      <c r="N79" s="309"/>
      <c r="O79" s="148"/>
      <c r="P79" s="310">
        <v>72000</v>
      </c>
      <c r="Q79" s="148">
        <v>350000</v>
      </c>
      <c r="R79" s="311">
        <f t="shared" ref="R79" si="84">S79-K79</f>
        <v>1078000</v>
      </c>
      <c r="S79" s="313">
        <f>1200000+300000</f>
        <v>1500000</v>
      </c>
      <c r="T79" s="276">
        <f t="shared" si="72"/>
        <v>355.45023696682466</v>
      </c>
      <c r="U79" s="148"/>
      <c r="V79" s="309"/>
      <c r="W79" s="148"/>
      <c r="X79" s="310"/>
      <c r="Y79" s="310">
        <f>100000+270250</f>
        <v>370250</v>
      </c>
      <c r="Z79" s="310">
        <f>350000+779750</f>
        <v>1129750</v>
      </c>
      <c r="AA79" s="314"/>
      <c r="AB79" s="315"/>
      <c r="AC79" s="316">
        <v>-207487.5</v>
      </c>
      <c r="AD79" s="317">
        <f>1200000+300000+AC79</f>
        <v>1292512.5</v>
      </c>
      <c r="AE79" s="252"/>
      <c r="AF79" s="309"/>
      <c r="AG79" s="148"/>
      <c r="AH79" s="310"/>
      <c r="AI79" s="310">
        <f>100000+270250</f>
        <v>370250</v>
      </c>
      <c r="AJ79" s="310">
        <f>350000+779750</f>
        <v>1129750</v>
      </c>
      <c r="AK79" s="314"/>
      <c r="AL79" s="315"/>
      <c r="AM79" s="311">
        <v>-370250</v>
      </c>
      <c r="AN79" s="317">
        <f>1292512.5+AM79</f>
        <v>922262.5</v>
      </c>
      <c r="AO79" s="277">
        <f t="shared" si="82"/>
        <v>71.354242222028802</v>
      </c>
    </row>
    <row r="80" spans="1:41" ht="15.75">
      <c r="B80" s="293">
        <v>5</v>
      </c>
      <c r="C80" s="294" t="s">
        <v>3</v>
      </c>
      <c r="D80" s="295">
        <f t="shared" ref="D80:S82" si="85">SUM(D81)</f>
        <v>1049750</v>
      </c>
      <c r="E80" s="295">
        <f t="shared" si="85"/>
        <v>0</v>
      </c>
      <c r="F80" s="295">
        <f t="shared" si="85"/>
        <v>0</v>
      </c>
      <c r="G80" s="295">
        <f t="shared" si="85"/>
        <v>0</v>
      </c>
      <c r="H80" s="295">
        <f t="shared" si="85"/>
        <v>0</v>
      </c>
      <c r="I80" s="295">
        <f t="shared" si="85"/>
        <v>1049750</v>
      </c>
      <c r="J80" s="295">
        <f t="shared" si="85"/>
        <v>0</v>
      </c>
      <c r="K80" s="295">
        <f t="shared" si="85"/>
        <v>1049750</v>
      </c>
      <c r="L80" s="186">
        <f t="shared" si="71"/>
        <v>100</v>
      </c>
      <c r="M80" s="295">
        <f t="shared" si="85"/>
        <v>0</v>
      </c>
      <c r="N80" s="295">
        <f t="shared" si="85"/>
        <v>0</v>
      </c>
      <c r="O80" s="295">
        <f t="shared" si="85"/>
        <v>0</v>
      </c>
      <c r="P80" s="295">
        <f t="shared" si="85"/>
        <v>0</v>
      </c>
      <c r="Q80" s="296">
        <f t="shared" si="85"/>
        <v>1049750</v>
      </c>
      <c r="R80" s="295">
        <f t="shared" si="85"/>
        <v>0</v>
      </c>
      <c r="S80" s="297">
        <f t="shared" si="85"/>
        <v>1049750</v>
      </c>
      <c r="T80" s="186">
        <f t="shared" si="72"/>
        <v>100</v>
      </c>
      <c r="U80" s="295">
        <f t="shared" ref="U80:AI82" si="86">SUM(U81)</f>
        <v>0</v>
      </c>
      <c r="V80" s="295">
        <f t="shared" si="86"/>
        <v>0</v>
      </c>
      <c r="W80" s="295">
        <f t="shared" si="86"/>
        <v>0</v>
      </c>
      <c r="X80" s="295">
        <f t="shared" si="86"/>
        <v>0</v>
      </c>
      <c r="Y80" s="295">
        <f t="shared" si="86"/>
        <v>0</v>
      </c>
      <c r="Z80" s="295">
        <f t="shared" si="86"/>
        <v>1049750</v>
      </c>
      <c r="AA80" s="295">
        <f t="shared" si="86"/>
        <v>0</v>
      </c>
      <c r="AB80" s="296">
        <f t="shared" si="86"/>
        <v>0</v>
      </c>
      <c r="AC80" s="295">
        <f t="shared" si="86"/>
        <v>0</v>
      </c>
      <c r="AD80" s="297">
        <f t="shared" si="86"/>
        <v>1049750</v>
      </c>
      <c r="AE80" s="298">
        <f t="shared" si="86"/>
        <v>0</v>
      </c>
      <c r="AF80" s="295">
        <f t="shared" si="86"/>
        <v>0</v>
      </c>
      <c r="AG80" s="295">
        <f t="shared" si="86"/>
        <v>0</v>
      </c>
      <c r="AH80" s="295">
        <f t="shared" si="86"/>
        <v>0</v>
      </c>
      <c r="AI80" s="295">
        <f t="shared" si="86"/>
        <v>0</v>
      </c>
      <c r="AJ80" s="295">
        <f t="shared" ref="AJ80:AN82" si="87">SUM(AJ81)</f>
        <v>1049750</v>
      </c>
      <c r="AK80" s="295">
        <f t="shared" si="87"/>
        <v>0</v>
      </c>
      <c r="AL80" s="296">
        <f t="shared" si="87"/>
        <v>0</v>
      </c>
      <c r="AM80" s="295">
        <f t="shared" si="87"/>
        <v>0</v>
      </c>
      <c r="AN80" s="297">
        <f t="shared" si="87"/>
        <v>1049750</v>
      </c>
      <c r="AO80" s="275">
        <f t="shared" si="82"/>
        <v>100</v>
      </c>
    </row>
    <row r="81" spans="2:41" ht="24.75">
      <c r="B81" s="50">
        <v>54</v>
      </c>
      <c r="C81" s="45" t="s">
        <v>2</v>
      </c>
      <c r="D81" s="145">
        <f t="shared" si="85"/>
        <v>1049750</v>
      </c>
      <c r="E81" s="145">
        <f t="shared" si="85"/>
        <v>0</v>
      </c>
      <c r="F81" s="145">
        <f t="shared" si="85"/>
        <v>0</v>
      </c>
      <c r="G81" s="145">
        <f t="shared" si="85"/>
        <v>0</v>
      </c>
      <c r="H81" s="145">
        <f t="shared" si="85"/>
        <v>0</v>
      </c>
      <c r="I81" s="145">
        <f t="shared" si="85"/>
        <v>1049750</v>
      </c>
      <c r="J81" s="145">
        <f t="shared" si="85"/>
        <v>0</v>
      </c>
      <c r="K81" s="145">
        <f t="shared" si="85"/>
        <v>1049750</v>
      </c>
      <c r="L81" s="186">
        <f t="shared" si="71"/>
        <v>100</v>
      </c>
      <c r="M81" s="145">
        <f t="shared" si="85"/>
        <v>0</v>
      </c>
      <c r="N81" s="145">
        <f t="shared" si="85"/>
        <v>0</v>
      </c>
      <c r="O81" s="145">
        <f t="shared" si="85"/>
        <v>0</v>
      </c>
      <c r="P81" s="145">
        <f t="shared" si="85"/>
        <v>0</v>
      </c>
      <c r="Q81" s="179">
        <f t="shared" si="85"/>
        <v>1049750</v>
      </c>
      <c r="R81" s="145">
        <f t="shared" si="85"/>
        <v>0</v>
      </c>
      <c r="S81" s="216">
        <f t="shared" si="85"/>
        <v>1049750</v>
      </c>
      <c r="T81" s="186">
        <f t="shared" si="72"/>
        <v>100</v>
      </c>
      <c r="U81" s="145">
        <f t="shared" si="86"/>
        <v>0</v>
      </c>
      <c r="V81" s="145">
        <f t="shared" si="86"/>
        <v>0</v>
      </c>
      <c r="W81" s="145">
        <f t="shared" si="86"/>
        <v>0</v>
      </c>
      <c r="X81" s="145">
        <f t="shared" si="86"/>
        <v>0</v>
      </c>
      <c r="Y81" s="145">
        <f t="shared" si="86"/>
        <v>0</v>
      </c>
      <c r="Z81" s="145">
        <f t="shared" si="86"/>
        <v>1049750</v>
      </c>
      <c r="AA81" s="145">
        <f t="shared" si="86"/>
        <v>0</v>
      </c>
      <c r="AB81" s="179">
        <f t="shared" si="86"/>
        <v>0</v>
      </c>
      <c r="AC81" s="145">
        <f t="shared" si="86"/>
        <v>0</v>
      </c>
      <c r="AD81" s="216">
        <f t="shared" si="86"/>
        <v>1049750</v>
      </c>
      <c r="AE81" s="250">
        <f t="shared" si="86"/>
        <v>0</v>
      </c>
      <c r="AF81" s="145">
        <f t="shared" si="86"/>
        <v>0</v>
      </c>
      <c r="AG81" s="145">
        <f t="shared" si="86"/>
        <v>0</v>
      </c>
      <c r="AH81" s="145">
        <f t="shared" si="86"/>
        <v>0</v>
      </c>
      <c r="AI81" s="145">
        <f t="shared" si="86"/>
        <v>0</v>
      </c>
      <c r="AJ81" s="145">
        <f t="shared" si="87"/>
        <v>1049750</v>
      </c>
      <c r="AK81" s="145">
        <f t="shared" si="87"/>
        <v>0</v>
      </c>
      <c r="AL81" s="179">
        <f t="shared" si="87"/>
        <v>0</v>
      </c>
      <c r="AM81" s="145">
        <f t="shared" ref="AM81:AM82" si="88">SUM(AM82)</f>
        <v>0</v>
      </c>
      <c r="AN81" s="216">
        <f t="shared" si="87"/>
        <v>1049750</v>
      </c>
      <c r="AO81" s="275">
        <f t="shared" si="82"/>
        <v>100</v>
      </c>
    </row>
    <row r="82" spans="2:41" ht="24">
      <c r="B82" s="47">
        <v>544</v>
      </c>
      <c r="C82" s="46" t="s">
        <v>1</v>
      </c>
      <c r="D82" s="146">
        <f t="shared" si="85"/>
        <v>1049750</v>
      </c>
      <c r="E82" s="146">
        <f t="shared" si="85"/>
        <v>0</v>
      </c>
      <c r="F82" s="146">
        <f t="shared" si="85"/>
        <v>0</v>
      </c>
      <c r="G82" s="146">
        <f t="shared" si="85"/>
        <v>0</v>
      </c>
      <c r="H82" s="146">
        <f t="shared" si="85"/>
        <v>0</v>
      </c>
      <c r="I82" s="146">
        <f t="shared" si="85"/>
        <v>1049750</v>
      </c>
      <c r="J82" s="146">
        <f t="shared" si="85"/>
        <v>0</v>
      </c>
      <c r="K82" s="146">
        <f t="shared" si="85"/>
        <v>1049750</v>
      </c>
      <c r="L82" s="186">
        <f t="shared" si="71"/>
        <v>100</v>
      </c>
      <c r="M82" s="146">
        <f t="shared" si="85"/>
        <v>0</v>
      </c>
      <c r="N82" s="146">
        <f t="shared" si="85"/>
        <v>0</v>
      </c>
      <c r="O82" s="146">
        <f t="shared" si="85"/>
        <v>0</v>
      </c>
      <c r="P82" s="146">
        <f t="shared" si="85"/>
        <v>0</v>
      </c>
      <c r="Q82" s="180">
        <f t="shared" si="85"/>
        <v>1049750</v>
      </c>
      <c r="R82" s="146">
        <f t="shared" si="85"/>
        <v>0</v>
      </c>
      <c r="S82" s="217">
        <f t="shared" si="85"/>
        <v>1049750</v>
      </c>
      <c r="T82" s="186">
        <f t="shared" si="72"/>
        <v>100</v>
      </c>
      <c r="U82" s="146">
        <f t="shared" si="86"/>
        <v>0</v>
      </c>
      <c r="V82" s="146">
        <f t="shared" si="86"/>
        <v>0</v>
      </c>
      <c r="W82" s="146">
        <f t="shared" si="86"/>
        <v>0</v>
      </c>
      <c r="X82" s="146">
        <f t="shared" si="86"/>
        <v>0</v>
      </c>
      <c r="Y82" s="146">
        <f t="shared" si="86"/>
        <v>0</v>
      </c>
      <c r="Z82" s="146">
        <f t="shared" si="86"/>
        <v>1049750</v>
      </c>
      <c r="AA82" s="146">
        <f t="shared" si="86"/>
        <v>0</v>
      </c>
      <c r="AB82" s="180">
        <f t="shared" si="86"/>
        <v>0</v>
      </c>
      <c r="AC82" s="146">
        <f t="shared" si="86"/>
        <v>0</v>
      </c>
      <c r="AD82" s="217">
        <f t="shared" si="86"/>
        <v>1049750</v>
      </c>
      <c r="AE82" s="251">
        <f t="shared" si="86"/>
        <v>0</v>
      </c>
      <c r="AF82" s="146">
        <f t="shared" si="86"/>
        <v>0</v>
      </c>
      <c r="AG82" s="146">
        <f t="shared" si="86"/>
        <v>0</v>
      </c>
      <c r="AH82" s="146">
        <f t="shared" si="86"/>
        <v>0</v>
      </c>
      <c r="AI82" s="146">
        <f t="shared" si="86"/>
        <v>0</v>
      </c>
      <c r="AJ82" s="146">
        <f t="shared" si="87"/>
        <v>1049750</v>
      </c>
      <c r="AK82" s="146">
        <f t="shared" si="87"/>
        <v>0</v>
      </c>
      <c r="AL82" s="180">
        <f t="shared" si="87"/>
        <v>0</v>
      </c>
      <c r="AM82" s="146">
        <f t="shared" si="88"/>
        <v>0</v>
      </c>
      <c r="AN82" s="217">
        <f t="shared" si="87"/>
        <v>1049750</v>
      </c>
      <c r="AO82" s="275">
        <f t="shared" si="82"/>
        <v>100</v>
      </c>
    </row>
    <row r="83" spans="2:41" ht="13.5" thickBot="1">
      <c r="B83" s="29">
        <v>5443</v>
      </c>
      <c r="C83" s="147" t="s">
        <v>153</v>
      </c>
      <c r="D83" s="130">
        <v>1049750</v>
      </c>
      <c r="E83" s="148"/>
      <c r="F83" s="149"/>
      <c r="G83" s="150"/>
      <c r="H83" s="151"/>
      <c r="I83" s="151">
        <v>1049750</v>
      </c>
      <c r="J83" s="154"/>
      <c r="K83" s="130">
        <v>1049750</v>
      </c>
      <c r="L83" s="187">
        <f t="shared" si="71"/>
        <v>100</v>
      </c>
      <c r="M83" s="148"/>
      <c r="N83" s="149"/>
      <c r="O83" s="150"/>
      <c r="P83" s="151"/>
      <c r="Q83" s="150">
        <v>1049750</v>
      </c>
      <c r="R83" s="154">
        <f t="shared" ref="R83" si="89">S83-K83</f>
        <v>0</v>
      </c>
      <c r="S83" s="202">
        <v>1049750</v>
      </c>
      <c r="T83" s="186">
        <f t="shared" si="72"/>
        <v>100</v>
      </c>
      <c r="U83" s="148"/>
      <c r="V83" s="149"/>
      <c r="W83" s="150"/>
      <c r="X83" s="151"/>
      <c r="Y83" s="151"/>
      <c r="Z83" s="151">
        <v>1049750</v>
      </c>
      <c r="AA83" s="223"/>
      <c r="AB83" s="224"/>
      <c r="AC83" s="154"/>
      <c r="AD83" s="205">
        <v>1049750</v>
      </c>
      <c r="AE83" s="252"/>
      <c r="AF83" s="149"/>
      <c r="AG83" s="150"/>
      <c r="AH83" s="151"/>
      <c r="AI83" s="151"/>
      <c r="AJ83" s="151">
        <v>1049750</v>
      </c>
      <c r="AK83" s="223"/>
      <c r="AL83" s="224"/>
      <c r="AM83" s="154"/>
      <c r="AN83" s="205">
        <v>1049750</v>
      </c>
      <c r="AO83" s="275">
        <f t="shared" si="82"/>
        <v>100</v>
      </c>
    </row>
    <row r="84" spans="2:41" ht="26.25" customHeight="1" thickBot="1">
      <c r="B84" s="220"/>
      <c r="C84" s="30" t="s">
        <v>0</v>
      </c>
      <c r="D84" s="152">
        <f>D62+D7+D80</f>
        <v>75341000</v>
      </c>
      <c r="E84" s="159">
        <f t="shared" ref="E84:J84" si="90">E62+E7+E80</f>
        <v>54158000</v>
      </c>
      <c r="F84" s="159">
        <f t="shared" si="90"/>
        <v>13126000</v>
      </c>
      <c r="G84" s="159">
        <f t="shared" si="90"/>
        <v>1965000</v>
      </c>
      <c r="H84" s="160">
        <f t="shared" si="90"/>
        <v>842000</v>
      </c>
      <c r="I84" s="160">
        <f t="shared" si="90"/>
        <v>5250000</v>
      </c>
      <c r="J84" s="161">
        <f t="shared" si="90"/>
        <v>3646000</v>
      </c>
      <c r="K84" s="152">
        <f>K62+K7+K80</f>
        <v>78987000</v>
      </c>
      <c r="L84" s="188">
        <f t="shared" si="71"/>
        <v>104.83933051061176</v>
      </c>
      <c r="M84" s="159">
        <f t="shared" ref="M84:S84" si="91">M62+M7+M80</f>
        <v>54413600</v>
      </c>
      <c r="N84" s="159">
        <f t="shared" si="91"/>
        <v>14407000</v>
      </c>
      <c r="O84" s="159">
        <f t="shared" si="91"/>
        <v>1862100</v>
      </c>
      <c r="P84" s="160">
        <f t="shared" si="91"/>
        <v>1674300</v>
      </c>
      <c r="Q84" s="181">
        <f t="shared" si="91"/>
        <v>6630000</v>
      </c>
      <c r="R84" s="161">
        <f t="shared" si="91"/>
        <v>3255450</v>
      </c>
      <c r="S84" s="221">
        <f t="shared" si="91"/>
        <v>82242450</v>
      </c>
      <c r="T84" s="276">
        <f t="shared" si="72"/>
        <v>104.12150100649473</v>
      </c>
      <c r="U84" s="159">
        <f t="shared" ref="U84:AD84" si="92">U62+U7+U80</f>
        <v>54415850</v>
      </c>
      <c r="V84" s="159">
        <f t="shared" si="92"/>
        <v>14601000</v>
      </c>
      <c r="W84" s="159">
        <f t="shared" si="92"/>
        <v>2532100</v>
      </c>
      <c r="X84" s="159">
        <f t="shared" si="92"/>
        <v>990000</v>
      </c>
      <c r="Y84" s="160">
        <f>Y62+Y7+Y80</f>
        <v>3133750</v>
      </c>
      <c r="Z84" s="160">
        <f>Z62+Z7+Z80</f>
        <v>6369750</v>
      </c>
      <c r="AA84" s="229">
        <f t="shared" si="92"/>
        <v>20000</v>
      </c>
      <c r="AB84" s="232">
        <f t="shared" si="92"/>
        <v>180000</v>
      </c>
      <c r="AC84" s="161">
        <f t="shared" si="92"/>
        <v>729000</v>
      </c>
      <c r="AD84" s="221">
        <f t="shared" si="92"/>
        <v>82971450</v>
      </c>
      <c r="AE84" s="253">
        <f t="shared" ref="AE84:AH84" si="93">AE62+AE7+AE80</f>
        <v>54415850</v>
      </c>
      <c r="AF84" s="159">
        <f t="shared" si="93"/>
        <v>14601000</v>
      </c>
      <c r="AG84" s="159">
        <f t="shared" si="93"/>
        <v>2532100</v>
      </c>
      <c r="AH84" s="159">
        <f t="shared" si="93"/>
        <v>990000</v>
      </c>
      <c r="AI84" s="160">
        <f>AI62+AI7+AI80</f>
        <v>3133750</v>
      </c>
      <c r="AJ84" s="160">
        <f>AJ62+AJ7+AJ80</f>
        <v>6369750</v>
      </c>
      <c r="AK84" s="229">
        <f t="shared" ref="AK84:AN84" si="94">AK62+AK7+AK80</f>
        <v>20000</v>
      </c>
      <c r="AL84" s="232">
        <f t="shared" si="94"/>
        <v>180000</v>
      </c>
      <c r="AM84" s="161">
        <f t="shared" si="94"/>
        <v>2143062.5</v>
      </c>
      <c r="AN84" s="221">
        <f t="shared" si="94"/>
        <v>85114512.5</v>
      </c>
      <c r="AO84" s="277">
        <f t="shared" si="82"/>
        <v>102.58289146447362</v>
      </c>
    </row>
    <row r="85" spans="2:41">
      <c r="C85" s="4"/>
      <c r="D85" s="31"/>
      <c r="S85" s="52"/>
      <c r="AD85" s="52"/>
      <c r="AN85" s="52"/>
    </row>
    <row r="86" spans="2:41">
      <c r="D86" s="155"/>
      <c r="E86" s="156"/>
      <c r="F86" s="155"/>
      <c r="H86" s="124"/>
      <c r="S86" s="52"/>
      <c r="Y86" s="52"/>
      <c r="AD86" s="52"/>
      <c r="AI86" s="52">
        <f>AI84-378000-150000-100000-50000</f>
        <v>2455750</v>
      </c>
      <c r="AN86" s="52"/>
    </row>
    <row r="87" spans="2:41" hidden="1">
      <c r="C87" s="185"/>
      <c r="D87" s="32"/>
      <c r="E87" s="32"/>
      <c r="F87" s="32"/>
      <c r="G87" s="124"/>
      <c r="H87" s="124"/>
      <c r="J87" s="153" t="s">
        <v>187</v>
      </c>
      <c r="K87" s="162">
        <v>79188035.510000005</v>
      </c>
      <c r="M87" s="52"/>
      <c r="N87" s="52"/>
      <c r="R87" s="153" t="s">
        <v>205</v>
      </c>
      <c r="S87" s="218">
        <f>82443485.51</f>
        <v>82443485.510000005</v>
      </c>
      <c r="U87" s="52"/>
      <c r="V87" s="52"/>
      <c r="Y87" s="52">
        <f>378000+150000+100000</f>
        <v>628000</v>
      </c>
      <c r="AC87" s="153" t="s">
        <v>205</v>
      </c>
      <c r="AD87" s="218">
        <f>82443485.51</f>
        <v>82443485.510000005</v>
      </c>
      <c r="AE87" s="52"/>
      <c r="AF87" s="52"/>
      <c r="AI87" s="52">
        <f>378000+150000+100000</f>
        <v>628000</v>
      </c>
      <c r="AM87" s="153" t="s">
        <v>205</v>
      </c>
      <c r="AN87" s="218">
        <f>82443485.51</f>
        <v>82443485.510000005</v>
      </c>
    </row>
    <row r="88" spans="2:41" hidden="1">
      <c r="E88" s="60"/>
      <c r="F88" s="60"/>
      <c r="J88" s="153" t="s">
        <v>186</v>
      </c>
      <c r="K88" s="162">
        <f>K84</f>
        <v>78987000</v>
      </c>
      <c r="M88" s="170"/>
      <c r="N88" s="170"/>
      <c r="R88" s="153" t="s">
        <v>206</v>
      </c>
      <c r="S88" s="218">
        <f>82242450</f>
        <v>82242450</v>
      </c>
      <c r="U88" s="170"/>
      <c r="V88" s="170"/>
      <c r="Y88" s="52">
        <v>50000</v>
      </c>
      <c r="AC88" s="153" t="s">
        <v>206</v>
      </c>
      <c r="AD88" s="218">
        <f>82242450</f>
        <v>82242450</v>
      </c>
      <c r="AE88" s="170"/>
      <c r="AF88" s="170"/>
      <c r="AI88" s="52">
        <v>50000</v>
      </c>
      <c r="AM88" s="153" t="s">
        <v>206</v>
      </c>
      <c r="AN88" s="218">
        <f>82242450</f>
        <v>82242450</v>
      </c>
    </row>
    <row r="89" spans="2:41" hidden="1">
      <c r="F89" s="60"/>
      <c r="J89" s="153" t="s">
        <v>189</v>
      </c>
      <c r="K89" s="162">
        <f>K87-K88</f>
        <v>201035.51000000536</v>
      </c>
      <c r="R89" s="153" t="s">
        <v>189</v>
      </c>
      <c r="S89" s="218">
        <f>S87-S88</f>
        <v>201035.51000000536</v>
      </c>
      <c r="AC89" s="153" t="s">
        <v>189</v>
      </c>
      <c r="AD89" s="218">
        <f>AD87-AD88</f>
        <v>201035.51000000536</v>
      </c>
      <c r="AM89" s="153" t="s">
        <v>189</v>
      </c>
      <c r="AN89" s="218">
        <f>AN87-AN88</f>
        <v>201035.51000000536</v>
      </c>
    </row>
    <row r="90" spans="2:41" hidden="1">
      <c r="J90" s="153"/>
      <c r="K90" s="162"/>
      <c r="R90" s="153"/>
      <c r="S90" s="218"/>
      <c r="AC90" s="153"/>
      <c r="AD90" s="218"/>
      <c r="AM90" s="153"/>
      <c r="AN90" s="218"/>
    </row>
    <row r="91" spans="2:41" hidden="1">
      <c r="J91" s="153" t="s">
        <v>188</v>
      </c>
      <c r="K91" s="162">
        <v>201035.51</v>
      </c>
      <c r="M91" s="60"/>
      <c r="R91" s="153" t="s">
        <v>188</v>
      </c>
      <c r="S91" s="218">
        <v>201035.51</v>
      </c>
      <c r="U91" s="60"/>
      <c r="AC91" s="153" t="s">
        <v>188</v>
      </c>
      <c r="AD91" s="218">
        <v>201035.51</v>
      </c>
      <c r="AE91" s="60"/>
      <c r="AM91" s="153" t="s">
        <v>188</v>
      </c>
      <c r="AN91" s="218">
        <v>201035.51</v>
      </c>
    </row>
    <row r="92" spans="2:41" hidden="1">
      <c r="J92" s="162" t="s">
        <v>189</v>
      </c>
      <c r="K92" s="162">
        <f>K89-K91</f>
        <v>5.3551048040390015E-9</v>
      </c>
      <c r="M92" s="170"/>
      <c r="O92" s="60"/>
      <c r="R92" s="162" t="s">
        <v>189</v>
      </c>
      <c r="S92" s="218">
        <f>S89-S91</f>
        <v>5.3551048040390015E-9</v>
      </c>
      <c r="U92" s="170"/>
      <c r="W92" s="60"/>
      <c r="X92" s="60"/>
      <c r="AC92" s="162" t="s">
        <v>189</v>
      </c>
      <c r="AD92" s="218">
        <f>AD89-AD91</f>
        <v>5.3551048040390015E-9</v>
      </c>
      <c r="AE92" s="170"/>
      <c r="AG92" s="60"/>
      <c r="AH92" s="60"/>
      <c r="AM92" s="162" t="s">
        <v>189</v>
      </c>
      <c r="AN92" s="218">
        <f>AN89-AN91</f>
        <v>5.3551048040390015E-9</v>
      </c>
    </row>
    <row r="93" spans="2:41" hidden="1">
      <c r="K93" s="52"/>
      <c r="S93" s="52"/>
      <c r="AD93" s="52"/>
      <c r="AN93" s="52"/>
    </row>
    <row r="94" spans="2:41" hidden="1">
      <c r="L94" s="153"/>
      <c r="M94" s="153" t="s">
        <v>195</v>
      </c>
      <c r="N94" s="153" t="s">
        <v>196</v>
      </c>
      <c r="O94" s="153" t="s">
        <v>189</v>
      </c>
      <c r="S94" s="52"/>
      <c r="T94" s="153"/>
      <c r="U94" s="153" t="s">
        <v>195</v>
      </c>
      <c r="V94" s="153" t="s">
        <v>196</v>
      </c>
      <c r="W94" s="153" t="s">
        <v>189</v>
      </c>
      <c r="X94" s="32"/>
      <c r="AD94" s="52"/>
      <c r="AE94" s="153" t="s">
        <v>195</v>
      </c>
      <c r="AF94" s="153" t="s">
        <v>196</v>
      </c>
      <c r="AG94" s="153" t="s">
        <v>189</v>
      </c>
      <c r="AH94" s="32"/>
      <c r="AN94" s="52"/>
      <c r="AO94" s="153"/>
    </row>
    <row r="95" spans="2:41" hidden="1">
      <c r="L95" s="153" t="s">
        <v>192</v>
      </c>
      <c r="M95" s="162">
        <f>'PRIHODI-REBALANS 4 '!G23</f>
        <v>57775698.009999998</v>
      </c>
      <c r="N95" s="162">
        <f>M84+P84</f>
        <v>56087900</v>
      </c>
      <c r="O95" s="162">
        <f>M95-N95</f>
        <v>1687798.0099999979</v>
      </c>
      <c r="S95" s="52"/>
      <c r="T95" s="153" t="s">
        <v>192</v>
      </c>
      <c r="U95" s="162">
        <f>'PRIHODI-REBALANS 4 '!G23</f>
        <v>57775698.009999998</v>
      </c>
      <c r="V95" s="162">
        <f>U84+Y86</f>
        <v>54415850</v>
      </c>
      <c r="W95" s="162">
        <f>U95-V95</f>
        <v>3359848.0099999979</v>
      </c>
      <c r="X95" s="234"/>
      <c r="AD95" s="52"/>
      <c r="AE95" s="162">
        <f>'PRIHODI-REBALANS 4 '!R23</f>
        <v>0</v>
      </c>
      <c r="AF95" s="162">
        <f>AE84+AI86</f>
        <v>56871600</v>
      </c>
      <c r="AG95" s="162">
        <f>AE95-AF95</f>
        <v>-56871600</v>
      </c>
      <c r="AH95" s="234"/>
      <c r="AN95" s="52"/>
      <c r="AO95" s="153" t="s">
        <v>192</v>
      </c>
    </row>
    <row r="96" spans="2:41" hidden="1">
      <c r="L96" s="153" t="s">
        <v>193</v>
      </c>
      <c r="M96" s="162">
        <f>'PRIHODI-REBALANS 4 '!F23</f>
        <v>16069000</v>
      </c>
      <c r="N96" s="162">
        <f>N84</f>
        <v>14407000</v>
      </c>
      <c r="O96" s="162">
        <f t="shared" ref="O96:O98" si="95">M96-N96</f>
        <v>1662000</v>
      </c>
      <c r="S96" s="52"/>
      <c r="T96" s="153" t="s">
        <v>193</v>
      </c>
      <c r="U96" s="162">
        <f>'PRIHODI-REBALANS 4 '!F23</f>
        <v>16069000</v>
      </c>
      <c r="V96" s="162">
        <f>V84+Y87+AA84</f>
        <v>15249000</v>
      </c>
      <c r="W96" s="162">
        <f t="shared" ref="W96:W98" si="96">U96-V96</f>
        <v>820000</v>
      </c>
      <c r="X96" s="234"/>
      <c r="AD96" s="52"/>
      <c r="AE96" s="162">
        <f>'PRIHODI-REBALANS 4 '!Q23</f>
        <v>0</v>
      </c>
      <c r="AF96" s="162">
        <f>AF84+AI87+AK84</f>
        <v>15249000</v>
      </c>
      <c r="AG96" s="162">
        <f t="shared" ref="AG96:AG98" si="97">AE96-AF96</f>
        <v>-15249000</v>
      </c>
      <c r="AH96" s="234"/>
      <c r="AN96" s="52"/>
      <c r="AO96" s="153" t="s">
        <v>193</v>
      </c>
    </row>
    <row r="97" spans="12:41" ht="24" hidden="1">
      <c r="L97" s="65" t="s">
        <v>194</v>
      </c>
      <c r="M97" s="162">
        <f>'PRIHODI-REBALANS 4 '!C23+'PRIHODI-REBALANS 4 '!D23+'PRIHODI-REBALANS 4 '!E23+'PRIHODI-REBALANS 4 '!H23+'PRIHODI-REBALANS 4 '!I23+'PRIHODI-REBALANS 4 '!J23+'PRIHODI-REBALANS 4 '!K23</f>
        <v>11470850</v>
      </c>
      <c r="N97" s="162">
        <f>O84+Q84</f>
        <v>8492100</v>
      </c>
      <c r="O97" s="162">
        <f t="shared" si="95"/>
        <v>2978750</v>
      </c>
      <c r="T97" s="65" t="s">
        <v>194</v>
      </c>
      <c r="U97" s="162">
        <f>'PRIHODI-REBALANS 4 '!C23+'PRIHODI-REBALANS 4 '!D23+'PRIHODI-REBALANS 4 '!E23+'PRIHODI-REBALANS 4 '!H23+'PRIHODI-REBALANS 4 '!I23+'PRIHODI-REBALANS 4 '!J23+'PRIHODI-REBALANS 4 '!K23</f>
        <v>11470850</v>
      </c>
      <c r="V97" s="162">
        <f>W84+X84+Y88+Z84+AB84</f>
        <v>10121850</v>
      </c>
      <c r="W97" s="162">
        <f t="shared" si="96"/>
        <v>1349000</v>
      </c>
      <c r="X97" s="234"/>
      <c r="AE97" s="162">
        <f>'PRIHODI-REBALANS 4 '!N23+'PRIHODI-REBALANS 4 '!O23+'PRIHODI-REBALANS 4 '!P23+'PRIHODI-REBALANS 4 '!S23+'PRIHODI-REBALANS 4 '!T23+'PRIHODI-REBALANS 4 '!U23+'PRIHODI-REBALANS 4 '!V23</f>
        <v>102.57664837939986</v>
      </c>
      <c r="AF97" s="162">
        <f>AG84+AH84+AI88+AJ84+AL84</f>
        <v>10121850</v>
      </c>
      <c r="AG97" s="162">
        <f t="shared" si="97"/>
        <v>-10121747.423351621</v>
      </c>
      <c r="AH97" s="234"/>
      <c r="AO97" s="65" t="s">
        <v>194</v>
      </c>
    </row>
    <row r="98" spans="12:41" hidden="1">
      <c r="L98" s="153"/>
      <c r="M98" s="162">
        <f>SUM(M95:M97)</f>
        <v>85315548.00999999</v>
      </c>
      <c r="N98" s="162">
        <f>SUM(N95:N97)</f>
        <v>78987000</v>
      </c>
      <c r="O98" s="162">
        <f t="shared" si="95"/>
        <v>6328548.0099999905</v>
      </c>
      <c r="T98" s="153"/>
      <c r="U98" s="162">
        <f>SUM(U95:U97)</f>
        <v>85315548.00999999</v>
      </c>
      <c r="V98" s="162">
        <f>SUM(V95:V97)</f>
        <v>79786700</v>
      </c>
      <c r="W98" s="162">
        <f t="shared" si="96"/>
        <v>5528848.0099999905</v>
      </c>
      <c r="X98" s="234"/>
      <c r="AE98" s="162">
        <f>SUM(AE95:AE97)</f>
        <v>102.57664837939986</v>
      </c>
      <c r="AF98" s="162">
        <f>SUM(AF95:AF97)</f>
        <v>82242450</v>
      </c>
      <c r="AG98" s="162">
        <f t="shared" si="97"/>
        <v>-82242347.423351616</v>
      </c>
      <c r="AH98" s="234"/>
      <c r="AO98" s="153"/>
    </row>
    <row r="99" spans="12:41" hidden="1"/>
    <row r="100" spans="12:41" ht="12.75" hidden="1" thickBot="1">
      <c r="R100" s="222" t="s">
        <v>209</v>
      </c>
      <c r="S100" s="219"/>
      <c r="AC100" s="222" t="s">
        <v>209</v>
      </c>
      <c r="AD100" s="219"/>
      <c r="AM100" s="222" t="s">
        <v>209</v>
      </c>
      <c r="AN100" s="219"/>
    </row>
    <row r="101" spans="12:41" hidden="1"/>
    <row r="102" spans="12:41" hidden="1"/>
    <row r="103" spans="12:41" hidden="1"/>
    <row r="104" spans="12:41">
      <c r="AN104" s="170"/>
    </row>
  </sheetData>
  <mergeCells count="32">
    <mergeCell ref="J5:J6"/>
    <mergeCell ref="B1:AO1"/>
    <mergeCell ref="R2:AB2"/>
    <mergeCell ref="AC2:AL2"/>
    <mergeCell ref="AM2:AO2"/>
    <mergeCell ref="B3:I3"/>
    <mergeCell ref="K3:Q3"/>
    <mergeCell ref="T3:Z3"/>
    <mergeCell ref="AE3:AJ3"/>
    <mergeCell ref="B5:B6"/>
    <mergeCell ref="C5:C6"/>
    <mergeCell ref="D5:D6"/>
    <mergeCell ref="E5:G5"/>
    <mergeCell ref="H5:I5"/>
    <mergeCell ref="AD5:AD6"/>
    <mergeCell ref="K5:K6"/>
    <mergeCell ref="L5:L6"/>
    <mergeCell ref="M5:O5"/>
    <mergeCell ref="P5:Q5"/>
    <mergeCell ref="R5:R6"/>
    <mergeCell ref="S5:S6"/>
    <mergeCell ref="T5:T6"/>
    <mergeCell ref="U5:X5"/>
    <mergeCell ref="Y5:Z5"/>
    <mergeCell ref="AA5:AB5"/>
    <mergeCell ref="AC5:AC6"/>
    <mergeCell ref="AO5:AO6"/>
    <mergeCell ref="AE5:AH5"/>
    <mergeCell ref="AI5:AJ5"/>
    <mergeCell ref="AK5:AL5"/>
    <mergeCell ref="AM5:AM6"/>
    <mergeCell ref="AN5:AN6"/>
  </mergeCells>
  <pageMargins left="0.11811023622047245" right="0.11811023622047245" top="0.15748031496062992" bottom="0.15748031496062992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22" sqref="N2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PRIHODI-REBALANS 4 </vt:lpstr>
      <vt:lpstr>RASHODI REBALANS 4</vt:lpstr>
      <vt:lpstr>List1</vt:lpstr>
      <vt:lpstr>'RASHODI REBALANS 4'!Ispis_naslova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2022-12-19T13:22:33Z</dcterms:modified>
</cp:coreProperties>
</file>